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Products\Product Data\"/>
    </mc:Choice>
  </mc:AlternateContent>
  <bookViews>
    <workbookView xWindow="120" yWindow="780" windowWidth="23256" windowHeight="11376" tabRatio="547"/>
  </bookViews>
  <sheets>
    <sheet name="UCO" sheetId="5" r:id="rId1"/>
    <sheet name="Light My Fire" sheetId="3" r:id="rId2"/>
    <sheet name="Morakniv" sheetId="4" r:id="rId3"/>
    <sheet name="Esbit" sheetId="8" r:id="rId4"/>
    <sheet name="Pedco" sheetId="6" r:id="rId5"/>
    <sheet name="Intova" sheetId="12" r:id="rId6"/>
    <sheet name="YayLabs!" sheetId="7" r:id="rId7"/>
  </sheets>
  <definedNames>
    <definedName name="_xlnm._FilterDatabase" localSheetId="3" hidden="1">Esbit!$A$2:$AQ$43</definedName>
    <definedName name="_xlnm._FilterDatabase" localSheetId="2" hidden="1">Morakniv!$A$2:$AQ$235</definedName>
    <definedName name="_xlnm._FilterDatabase" localSheetId="4" hidden="1">Pedco!$A$2:$AN$22</definedName>
    <definedName name="_xlnm.Print_Titles" localSheetId="3">Esbit!$C:$C,Esbit!$1:$1</definedName>
    <definedName name="_xlnm.Print_Titles" localSheetId="5">Intova!$2:$2</definedName>
    <definedName name="_xlnm.Print_Titles" localSheetId="1">'Light My Fire'!$2:$2</definedName>
    <definedName name="_xlnm.Print_Titles" localSheetId="2">Morakniv!$2:$2</definedName>
    <definedName name="_xlnm.Print_Titles" localSheetId="4">Pedco!$2:$2</definedName>
    <definedName name="_xlnm.Print_Titles" localSheetId="0">UCO!$2:$2</definedName>
    <definedName name="_xlnm.Print_Titles" localSheetId="6">'YayLabs!'!$2:$2</definedName>
  </definedNames>
  <calcPr calcId="171027"/>
</workbook>
</file>

<file path=xl/calcChain.xml><?xml version="1.0" encoding="utf-8"?>
<calcChain xmlns="http://schemas.openxmlformats.org/spreadsheetml/2006/main">
  <c r="AF74" i="4" l="1"/>
  <c r="R74" i="4"/>
  <c r="Q74" i="4"/>
  <c r="P74" i="4"/>
  <c r="AF16" i="8" l="1"/>
  <c r="AF11" i="12" l="1"/>
  <c r="AF4" i="12"/>
  <c r="AF5" i="12"/>
  <c r="AF6" i="12"/>
  <c r="AF7" i="12"/>
  <c r="AF171" i="4" l="1"/>
  <c r="AF100" i="4"/>
  <c r="AF121" i="5" l="1"/>
  <c r="AF120" i="5"/>
  <c r="AF119" i="5"/>
  <c r="AF118" i="5"/>
  <c r="AF117" i="5"/>
  <c r="AF155" i="5"/>
  <c r="AF156" i="5"/>
  <c r="AF157" i="5"/>
  <c r="AF158" i="5"/>
  <c r="AF159" i="5"/>
  <c r="AF112" i="5"/>
  <c r="AF111" i="5"/>
  <c r="AF109" i="5"/>
  <c r="AF122" i="5"/>
  <c r="AF123" i="5"/>
  <c r="AF73" i="4" l="1"/>
  <c r="AF45" i="4"/>
  <c r="AF47" i="4"/>
  <c r="AF48" i="4"/>
  <c r="AF49" i="4"/>
  <c r="AF50" i="4"/>
  <c r="AF51" i="4"/>
  <c r="AF52" i="4"/>
  <c r="AF58" i="4"/>
  <c r="AF59" i="4"/>
  <c r="AF60" i="4"/>
  <c r="AF61" i="4"/>
  <c r="AF62" i="4"/>
  <c r="AF63" i="4"/>
  <c r="AF44" i="4"/>
  <c r="P109" i="12" l="1"/>
  <c r="P108" i="12"/>
  <c r="P107" i="12"/>
  <c r="P102" i="12"/>
  <c r="P101" i="12"/>
  <c r="P100" i="12"/>
  <c r="P99" i="12"/>
  <c r="P98" i="12"/>
  <c r="P97" i="12"/>
  <c r="T96" i="12"/>
  <c r="P96" i="12"/>
  <c r="P94" i="12"/>
  <c r="P93" i="12"/>
  <c r="P91" i="12"/>
  <c r="P90" i="12"/>
  <c r="P87" i="12"/>
  <c r="P85" i="12"/>
  <c r="P84" i="12"/>
  <c r="P83" i="12"/>
  <c r="P82" i="12"/>
  <c r="P80" i="12"/>
  <c r="P77" i="12"/>
  <c r="P76" i="12"/>
  <c r="T75" i="12"/>
  <c r="P75" i="12"/>
  <c r="P74" i="12"/>
  <c r="P69" i="12"/>
  <c r="P68" i="12"/>
  <c r="P67" i="12"/>
  <c r="P66" i="12"/>
  <c r="P65" i="12"/>
  <c r="P64" i="12"/>
  <c r="P63" i="12"/>
  <c r="P62" i="12"/>
  <c r="P61" i="12"/>
  <c r="P59" i="12"/>
  <c r="P58" i="12"/>
  <c r="P57" i="12"/>
  <c r="P56" i="12"/>
  <c r="P54" i="12"/>
  <c r="P53" i="12"/>
  <c r="P52" i="12"/>
  <c r="P51" i="12"/>
  <c r="P49" i="12"/>
  <c r="P48" i="12"/>
  <c r="P47" i="12"/>
  <c r="P46" i="12"/>
  <c r="P44" i="12"/>
  <c r="P43" i="12"/>
  <c r="P41" i="12"/>
  <c r="P40" i="12"/>
  <c r="AF17" i="12"/>
  <c r="AF16" i="12"/>
  <c r="AF10" i="12"/>
  <c r="AF9" i="12"/>
  <c r="AF8" i="12"/>
  <c r="X162" i="5" l="1"/>
  <c r="X163" i="5"/>
  <c r="X164" i="5"/>
  <c r="X165" i="5"/>
  <c r="AB156" i="5" l="1"/>
  <c r="AB157" i="5"/>
  <c r="AB158" i="5"/>
  <c r="AB159" i="5"/>
  <c r="AB111" i="5"/>
  <c r="AB112" i="5"/>
  <c r="AB113" i="5"/>
  <c r="AB114" i="5"/>
  <c r="AB155" i="5"/>
  <c r="X156" i="5"/>
  <c r="X157" i="5"/>
  <c r="X158" i="5"/>
  <c r="X159" i="5"/>
  <c r="X111" i="5"/>
  <c r="X112" i="5"/>
  <c r="X113" i="5"/>
  <c r="X114" i="5"/>
  <c r="X109" i="5"/>
  <c r="X155" i="5"/>
  <c r="P93" i="4" l="1"/>
  <c r="AF167" i="5" l="1"/>
  <c r="AF85" i="5"/>
  <c r="P52" i="5"/>
  <c r="AG269" i="3"/>
  <c r="T269" i="3"/>
  <c r="S269" i="3"/>
  <c r="R269" i="3"/>
  <c r="Q269" i="3"/>
  <c r="P269" i="3"/>
  <c r="Q177" i="3"/>
  <c r="S234" i="3"/>
  <c r="S235" i="3"/>
  <c r="S236" i="3"/>
  <c r="S237" i="3"/>
  <c r="S238" i="3"/>
  <c r="S233" i="3"/>
  <c r="R234" i="3"/>
  <c r="R235" i="3"/>
  <c r="R236" i="3"/>
  <c r="R237" i="3"/>
  <c r="R238" i="3"/>
  <c r="R233" i="3"/>
  <c r="Q234" i="3"/>
  <c r="Q235" i="3"/>
  <c r="Q236" i="3"/>
  <c r="Q237" i="3"/>
  <c r="Q238" i="3"/>
  <c r="Q233" i="3"/>
  <c r="Q228" i="3"/>
  <c r="Q229" i="3"/>
  <c r="Q230" i="3"/>
  <c r="Q231" i="3"/>
  <c r="Q227" i="3"/>
  <c r="R148" i="3"/>
  <c r="S148" i="3"/>
  <c r="R149" i="3"/>
  <c r="S149" i="3"/>
  <c r="R150" i="3"/>
  <c r="S150" i="3"/>
  <c r="R151" i="3"/>
  <c r="S151" i="3"/>
  <c r="S147" i="3"/>
  <c r="R147" i="3"/>
  <c r="Q151" i="3"/>
  <c r="Q150" i="3"/>
  <c r="Q149" i="3"/>
  <c r="Q148" i="3"/>
  <c r="Q147" i="3"/>
  <c r="R143" i="3"/>
  <c r="S143" i="3"/>
  <c r="R144" i="3"/>
  <c r="S144" i="3"/>
  <c r="R145" i="3"/>
  <c r="S145" i="3"/>
  <c r="S142" i="3"/>
  <c r="R142" i="3"/>
  <c r="Q143" i="3"/>
  <c r="Q144" i="3"/>
  <c r="Q145" i="3"/>
  <c r="Q142" i="3"/>
  <c r="S140" i="3"/>
  <c r="S139" i="3"/>
  <c r="S138" i="3"/>
  <c r="S137" i="3"/>
  <c r="S136" i="3"/>
  <c r="S135" i="3"/>
  <c r="S134" i="3"/>
  <c r="S133" i="3"/>
  <c r="S132" i="3"/>
  <c r="S130" i="3"/>
  <c r="S131" i="3"/>
  <c r="R140" i="3"/>
  <c r="R139" i="3"/>
  <c r="R138" i="3"/>
  <c r="R137" i="3"/>
  <c r="R136" i="3"/>
  <c r="R135" i="3"/>
  <c r="R134" i="3"/>
  <c r="R133" i="3"/>
  <c r="R132" i="3"/>
  <c r="R130" i="3"/>
  <c r="R131" i="3"/>
  <c r="Q140" i="3"/>
  <c r="Q139" i="3"/>
  <c r="Q138" i="3"/>
  <c r="Q137" i="3"/>
  <c r="Q132" i="3"/>
  <c r="Q133" i="3"/>
  <c r="Q134" i="3"/>
  <c r="Q135" i="3"/>
  <c r="Q136" i="3"/>
  <c r="Q131" i="3"/>
  <c r="Q130" i="3"/>
  <c r="R123" i="3"/>
  <c r="Q123" i="3"/>
  <c r="R122" i="3"/>
  <c r="Q122" i="3"/>
  <c r="R121" i="3"/>
  <c r="Q121" i="3"/>
  <c r="R120" i="3"/>
  <c r="Q120" i="3"/>
  <c r="R119" i="3"/>
  <c r="Q119" i="3"/>
  <c r="R117" i="3"/>
  <c r="R116" i="3"/>
  <c r="R115" i="3"/>
  <c r="R114" i="3"/>
  <c r="R113"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68" i="3"/>
  <c r="Q74" i="3"/>
  <c r="Q73" i="3"/>
  <c r="Q72" i="3"/>
  <c r="Q71" i="3"/>
  <c r="Q70" i="3"/>
  <c r="Q69" i="3"/>
  <c r="Q68" i="3"/>
  <c r="Q82" i="3"/>
  <c r="Q81" i="3"/>
  <c r="Q80" i="3"/>
  <c r="Q79" i="3"/>
  <c r="Q78" i="3"/>
  <c r="Q77" i="3"/>
  <c r="Q76" i="3"/>
  <c r="Q75" i="3"/>
  <c r="Q83" i="3"/>
  <c r="X100" i="5"/>
  <c r="T100" i="5"/>
  <c r="X99" i="5"/>
  <c r="T99" i="5"/>
  <c r="X97" i="5"/>
  <c r="T97" i="5"/>
  <c r="X95" i="5"/>
  <c r="X93" i="5"/>
  <c r="T93" i="5"/>
  <c r="X91" i="5"/>
  <c r="X90" i="5"/>
  <c r="X89" i="5"/>
  <c r="T89" i="5"/>
  <c r="T88" i="5"/>
  <c r="X88" i="5"/>
  <c r="AF78" i="4"/>
  <c r="R78" i="4"/>
  <c r="Q78" i="4"/>
  <c r="P78" i="4"/>
  <c r="T46" i="5"/>
  <c r="P36" i="5"/>
  <c r="P35" i="5"/>
  <c r="P34" i="5"/>
  <c r="T36" i="5"/>
  <c r="T35" i="5"/>
  <c r="T34" i="5"/>
  <c r="X139" i="5"/>
  <c r="T139" i="5"/>
  <c r="P126" i="5"/>
  <c r="P125" i="5"/>
  <c r="P124" i="5"/>
  <c r="T126" i="5"/>
  <c r="T125" i="5"/>
  <c r="T124" i="5"/>
  <c r="T27" i="8"/>
  <c r="T15" i="8"/>
  <c r="AE106" i="5"/>
  <c r="AD106" i="5"/>
  <c r="AC106" i="5"/>
  <c r="AB106" i="5"/>
  <c r="T60" i="5"/>
  <c r="P18" i="5"/>
  <c r="R73" i="4"/>
  <c r="Q73" i="4"/>
  <c r="P73" i="4"/>
  <c r="Q228" i="4"/>
  <c r="Q227" i="4"/>
  <c r="Q223" i="4"/>
  <c r="Q222" i="4"/>
  <c r="Q221" i="4"/>
  <c r="Q220" i="4"/>
  <c r="Q217" i="4"/>
  <c r="Q216" i="4"/>
  <c r="Q213" i="4"/>
  <c r="Q212" i="4"/>
  <c r="Q211" i="4"/>
  <c r="Q210" i="4"/>
  <c r="Q207" i="4"/>
  <c r="Q206" i="4"/>
  <c r="P206" i="4"/>
  <c r="Q205" i="4"/>
  <c r="Q202" i="4"/>
  <c r="Q201" i="4"/>
  <c r="Q200" i="4"/>
  <c r="Q199" i="4"/>
  <c r="Q198" i="4"/>
  <c r="Q197" i="4"/>
  <c r="Q190" i="4"/>
  <c r="Q189" i="4"/>
  <c r="Q204" i="4"/>
  <c r="R167" i="4"/>
  <c r="Q166" i="4"/>
  <c r="Q100" i="4"/>
  <c r="R139" i="4"/>
  <c r="P90" i="4"/>
  <c r="R90" i="4"/>
  <c r="P17" i="4"/>
  <c r="T6" i="4"/>
  <c r="T21" i="6"/>
  <c r="T138" i="5"/>
  <c r="P89" i="4"/>
  <c r="Q70" i="4"/>
  <c r="R24" i="4"/>
  <c r="R25" i="4"/>
  <c r="R26" i="4"/>
  <c r="R27" i="4"/>
  <c r="R28" i="4"/>
  <c r="R29" i="4"/>
  <c r="R30" i="4"/>
  <c r="R31" i="4"/>
  <c r="R23" i="4"/>
  <c r="R22" i="4"/>
  <c r="AG268" i="3"/>
  <c r="U268" i="3"/>
  <c r="Q268" i="3"/>
  <c r="AG168" i="3"/>
  <c r="Y168" i="3"/>
  <c r="U168" i="3"/>
  <c r="Q168" i="3"/>
  <c r="P235" i="4"/>
  <c r="R235" i="4"/>
  <c r="R234" i="4"/>
  <c r="P234" i="4"/>
  <c r="R233" i="4"/>
  <c r="P233" i="4"/>
  <c r="P232" i="4"/>
  <c r="R232" i="4"/>
  <c r="R231" i="4"/>
  <c r="P231" i="4"/>
  <c r="R230" i="4"/>
  <c r="P230" i="4"/>
  <c r="R228" i="4"/>
  <c r="P228" i="4"/>
  <c r="R227" i="4"/>
  <c r="P227" i="4"/>
  <c r="R226" i="4"/>
  <c r="P226" i="4"/>
  <c r="R225" i="4"/>
  <c r="P225" i="4"/>
  <c r="R223" i="4"/>
  <c r="R222" i="4"/>
  <c r="P223" i="4"/>
  <c r="P222" i="4"/>
  <c r="R221" i="4"/>
  <c r="P221" i="4"/>
  <c r="R220" i="4"/>
  <c r="P220" i="4"/>
  <c r="R219" i="4"/>
  <c r="P219" i="4"/>
  <c r="R218" i="4"/>
  <c r="P218" i="4"/>
  <c r="R217" i="4"/>
  <c r="P217" i="4"/>
  <c r="R216" i="4"/>
  <c r="P216" i="4"/>
  <c r="R213" i="4"/>
  <c r="AF213" i="4"/>
  <c r="P213" i="4"/>
  <c r="R212" i="4"/>
  <c r="P212" i="4"/>
  <c r="P211" i="4"/>
  <c r="R211" i="4"/>
  <c r="P210" i="4"/>
  <c r="R210" i="4"/>
  <c r="R209" i="4"/>
  <c r="P209" i="4"/>
  <c r="P208" i="4"/>
  <c r="R208" i="4"/>
  <c r="R207" i="4"/>
  <c r="P207" i="4"/>
  <c r="R206" i="4"/>
  <c r="P205" i="4"/>
  <c r="R205" i="4"/>
  <c r="R204" i="4"/>
  <c r="P204" i="4"/>
  <c r="R202" i="4"/>
  <c r="P202" i="4"/>
  <c r="R201" i="4"/>
  <c r="P201" i="4"/>
  <c r="R200" i="4"/>
  <c r="P200" i="4"/>
  <c r="R199" i="4"/>
  <c r="P199" i="4"/>
  <c r="R198" i="4"/>
  <c r="P198" i="4"/>
  <c r="R197" i="4"/>
  <c r="P197" i="4"/>
  <c r="R196" i="4"/>
  <c r="P196" i="4"/>
  <c r="P194" i="4"/>
  <c r="R194" i="4"/>
  <c r="R193" i="4"/>
  <c r="P193" i="4"/>
  <c r="P192" i="4"/>
  <c r="R192" i="4"/>
  <c r="R191" i="4"/>
  <c r="P191" i="4"/>
  <c r="R190" i="4"/>
  <c r="P190" i="4"/>
  <c r="R188" i="4"/>
  <c r="P188" i="4"/>
  <c r="R189" i="4"/>
  <c r="P189" i="4"/>
  <c r="R187" i="4"/>
  <c r="P187" i="4"/>
  <c r="AF187" i="4"/>
  <c r="P186" i="4"/>
  <c r="R186" i="4"/>
  <c r="Q185" i="4"/>
  <c r="P185" i="4"/>
  <c r="R184" i="4"/>
  <c r="P184" i="4"/>
  <c r="R183" i="4"/>
  <c r="P183" i="4"/>
  <c r="R180" i="4"/>
  <c r="P180" i="4"/>
  <c r="R179" i="4"/>
  <c r="P179" i="4"/>
  <c r="R178" i="4"/>
  <c r="P178" i="4"/>
  <c r="R177" i="4"/>
  <c r="P177" i="4"/>
  <c r="R176" i="4"/>
  <c r="P176" i="4"/>
  <c r="R175" i="4"/>
  <c r="P175" i="4"/>
  <c r="R174" i="4"/>
  <c r="P174" i="4"/>
  <c r="P173" i="4"/>
  <c r="R173" i="4"/>
  <c r="R172" i="4"/>
  <c r="P172" i="4"/>
  <c r="R171" i="4"/>
  <c r="P171" i="4"/>
  <c r="R170" i="4"/>
  <c r="P170" i="4"/>
  <c r="P168" i="4"/>
  <c r="Q168" i="4"/>
  <c r="R168" i="4"/>
  <c r="P167" i="4"/>
  <c r="Q167" i="4"/>
  <c r="R166" i="4"/>
  <c r="P166" i="4"/>
  <c r="R164" i="4"/>
  <c r="Q164" i="4"/>
  <c r="P164" i="4"/>
  <c r="P163" i="4"/>
  <c r="R163" i="4"/>
  <c r="Q163" i="4"/>
  <c r="R160" i="4"/>
  <c r="Q160" i="4"/>
  <c r="P160" i="4"/>
  <c r="R159" i="4"/>
  <c r="Q159" i="4"/>
  <c r="P159" i="4"/>
  <c r="R158" i="4"/>
  <c r="Q158" i="4"/>
  <c r="P158" i="4"/>
  <c r="R157" i="4"/>
  <c r="Q157" i="4"/>
  <c r="P157" i="4"/>
  <c r="R156" i="4"/>
  <c r="Q156" i="4"/>
  <c r="P156" i="4"/>
  <c r="R155" i="4"/>
  <c r="Q155" i="4"/>
  <c r="P155" i="4"/>
  <c r="R154" i="4"/>
  <c r="Q154" i="4"/>
  <c r="P154" i="4"/>
  <c r="R153" i="4"/>
  <c r="Q153" i="4"/>
  <c r="P153" i="4"/>
  <c r="R152" i="4"/>
  <c r="Q152" i="4"/>
  <c r="P152" i="4"/>
  <c r="R151" i="4"/>
  <c r="Q151" i="4"/>
  <c r="P151" i="4"/>
  <c r="P149" i="4"/>
  <c r="R147" i="4"/>
  <c r="Q147" i="4"/>
  <c r="P147" i="4"/>
  <c r="R146" i="4"/>
  <c r="Q146" i="4"/>
  <c r="P146" i="4"/>
  <c r="R145" i="4"/>
  <c r="Q145" i="4"/>
  <c r="P145" i="4"/>
  <c r="R144" i="4"/>
  <c r="Q144" i="4"/>
  <c r="P144" i="4"/>
  <c r="R143" i="4"/>
  <c r="Q143" i="4"/>
  <c r="P143" i="4"/>
  <c r="R142" i="4"/>
  <c r="Q142" i="4"/>
  <c r="P142" i="4"/>
  <c r="R141" i="4"/>
  <c r="Q141" i="4"/>
  <c r="P141" i="4"/>
  <c r="Q139" i="4"/>
  <c r="P139" i="4"/>
  <c r="R138" i="4"/>
  <c r="Q138" i="4"/>
  <c r="P138" i="4"/>
  <c r="P137" i="4"/>
  <c r="R137" i="4"/>
  <c r="Q137" i="4"/>
  <c r="P136" i="4"/>
  <c r="R136" i="4"/>
  <c r="Q136" i="4"/>
  <c r="P135" i="4"/>
  <c r="R135" i="4"/>
  <c r="Q135" i="4"/>
  <c r="R134" i="4"/>
  <c r="Q134" i="4"/>
  <c r="P134" i="4"/>
  <c r="R133" i="4"/>
  <c r="Q133" i="4"/>
  <c r="P133" i="4"/>
  <c r="R132" i="4"/>
  <c r="Q132" i="4"/>
  <c r="P132" i="4"/>
  <c r="R131" i="4"/>
  <c r="Q131" i="4"/>
  <c r="P131" i="4"/>
  <c r="R130" i="4"/>
  <c r="Q130" i="4"/>
  <c r="P130" i="4"/>
  <c r="R129" i="4"/>
  <c r="Q129" i="4"/>
  <c r="P129" i="4"/>
  <c r="R128" i="4"/>
  <c r="Q128" i="4"/>
  <c r="P128" i="4"/>
  <c r="R126" i="4"/>
  <c r="Q126" i="4"/>
  <c r="P126" i="4"/>
  <c r="R123" i="4"/>
  <c r="Q123" i="4"/>
  <c r="P123" i="4"/>
  <c r="R120" i="4"/>
  <c r="Q120" i="4"/>
  <c r="P120" i="4"/>
  <c r="R117" i="4"/>
  <c r="Q117" i="4"/>
  <c r="P117" i="4"/>
  <c r="R116" i="4"/>
  <c r="Q116" i="4"/>
  <c r="P116" i="4"/>
  <c r="R115" i="4"/>
  <c r="Q115" i="4"/>
  <c r="P115" i="4"/>
  <c r="R114" i="4"/>
  <c r="Q114" i="4"/>
  <c r="P114" i="4"/>
  <c r="R113" i="4"/>
  <c r="Q113" i="4"/>
  <c r="P113" i="4"/>
  <c r="R112" i="4"/>
  <c r="Q112" i="4"/>
  <c r="P112" i="4"/>
  <c r="R111" i="4"/>
  <c r="Q111" i="4"/>
  <c r="P111" i="4"/>
  <c r="R109" i="4"/>
  <c r="Q109" i="4"/>
  <c r="P109" i="4"/>
  <c r="R104" i="4"/>
  <c r="Q104" i="4"/>
  <c r="P104" i="4"/>
  <c r="R105" i="4"/>
  <c r="Q105" i="4"/>
  <c r="P105" i="4"/>
  <c r="R103" i="4"/>
  <c r="Q103" i="4"/>
  <c r="P103" i="4"/>
  <c r="P102" i="4"/>
  <c r="R102" i="4"/>
  <c r="Q102" i="4"/>
  <c r="P101" i="4"/>
  <c r="R101" i="4"/>
  <c r="Q101" i="4"/>
  <c r="P100" i="4"/>
  <c r="R100" i="4"/>
  <c r="R99" i="4"/>
  <c r="Q99" i="4"/>
  <c r="P99" i="4"/>
  <c r="R98" i="4"/>
  <c r="Q98" i="4"/>
  <c r="P98" i="4"/>
  <c r="R97" i="4"/>
  <c r="Q97" i="4"/>
  <c r="P97" i="4"/>
  <c r="R96" i="4"/>
  <c r="Q96" i="4"/>
  <c r="P96" i="4"/>
  <c r="R95" i="4"/>
  <c r="Q95" i="4"/>
  <c r="P95" i="4"/>
  <c r="R94" i="4"/>
  <c r="Q94" i="4"/>
  <c r="P94" i="4"/>
  <c r="P91" i="4"/>
  <c r="Q90" i="4"/>
  <c r="R89" i="4"/>
  <c r="Q89" i="4"/>
  <c r="R88" i="4"/>
  <c r="Q88" i="4"/>
  <c r="P88" i="4"/>
  <c r="R87" i="4"/>
  <c r="Q87" i="4"/>
  <c r="P87" i="4"/>
  <c r="R85" i="4"/>
  <c r="Q85" i="4"/>
  <c r="P85" i="4"/>
  <c r="R84" i="4"/>
  <c r="Q84" i="4"/>
  <c r="P84" i="4"/>
  <c r="R83" i="4"/>
  <c r="Q83" i="4"/>
  <c r="P83" i="4"/>
  <c r="R82" i="4"/>
  <c r="Q82" i="4"/>
  <c r="P82" i="4"/>
  <c r="R81" i="4"/>
  <c r="Q81" i="4"/>
  <c r="P81" i="4"/>
  <c r="R79" i="4"/>
  <c r="Q79" i="4"/>
  <c r="P79" i="4"/>
  <c r="R76" i="4"/>
  <c r="Q76" i="4"/>
  <c r="P76" i="4"/>
  <c r="R75" i="4"/>
  <c r="Q75" i="4"/>
  <c r="P75" i="4"/>
  <c r="R72" i="4"/>
  <c r="Q72" i="4"/>
  <c r="P72" i="4"/>
  <c r="R71" i="4"/>
  <c r="Q71" i="4"/>
  <c r="P71" i="4"/>
  <c r="R70" i="4"/>
  <c r="P70" i="4"/>
  <c r="R42" i="4"/>
  <c r="Q42" i="4"/>
  <c r="P42" i="4"/>
  <c r="R41" i="4"/>
  <c r="Q41" i="4"/>
  <c r="P41" i="4"/>
  <c r="R40" i="4"/>
  <c r="Q40" i="4"/>
  <c r="P40" i="4"/>
  <c r="Q39" i="4"/>
  <c r="P39" i="4"/>
  <c r="R39" i="4"/>
  <c r="P38" i="4"/>
  <c r="R38" i="4"/>
  <c r="Q38" i="4"/>
  <c r="P37" i="4"/>
  <c r="R37" i="4"/>
  <c r="Q37" i="4"/>
  <c r="R36" i="4"/>
  <c r="Q36" i="4"/>
  <c r="P36" i="4"/>
  <c r="R35" i="4"/>
  <c r="Q35" i="4"/>
  <c r="P35" i="4"/>
  <c r="R34" i="4"/>
  <c r="Q34" i="4"/>
  <c r="P34" i="4"/>
  <c r="Q33" i="4"/>
  <c r="P33" i="4"/>
  <c r="R33" i="4"/>
  <c r="R32" i="4"/>
  <c r="P32" i="4"/>
  <c r="Q32" i="4"/>
  <c r="Q31" i="4"/>
  <c r="P31" i="4"/>
  <c r="Q30" i="4"/>
  <c r="P30" i="4"/>
  <c r="Q29" i="4"/>
  <c r="P29" i="4"/>
  <c r="Q28" i="4"/>
  <c r="P28" i="4"/>
  <c r="Q27" i="4"/>
  <c r="P27" i="4"/>
  <c r="Q26" i="4"/>
  <c r="P26" i="4"/>
  <c r="Q24" i="4"/>
  <c r="P24" i="4"/>
  <c r="Q25" i="4"/>
  <c r="P25" i="4"/>
  <c r="Q23" i="4"/>
  <c r="P23" i="4"/>
  <c r="Q22" i="4"/>
  <c r="P22" i="4"/>
  <c r="R19" i="4"/>
  <c r="Q19" i="4"/>
  <c r="P19" i="4"/>
  <c r="R17" i="4"/>
  <c r="Q17" i="4"/>
  <c r="R16" i="4"/>
  <c r="Q16" i="4"/>
  <c r="P16" i="4"/>
  <c r="R15" i="4"/>
  <c r="Q15" i="4"/>
  <c r="P15" i="4"/>
  <c r="P14" i="4"/>
  <c r="R14" i="4"/>
  <c r="Q14" i="4"/>
  <c r="P13" i="4"/>
  <c r="R13" i="4"/>
  <c r="Q13" i="4"/>
  <c r="R12" i="4"/>
  <c r="Q12" i="4"/>
  <c r="P12" i="4"/>
  <c r="R11" i="4"/>
  <c r="Q11" i="4"/>
  <c r="P11" i="4"/>
  <c r="R10" i="4"/>
  <c r="Q10" i="4"/>
  <c r="P10" i="4"/>
  <c r="P9" i="4"/>
  <c r="R9" i="4"/>
  <c r="Q9" i="4"/>
  <c r="P6" i="4"/>
  <c r="P7" i="4"/>
  <c r="P8" i="4"/>
  <c r="R8" i="4"/>
  <c r="Q8" i="4"/>
  <c r="R7" i="4"/>
  <c r="Q7" i="4"/>
  <c r="R6" i="4"/>
  <c r="Q6" i="4"/>
  <c r="T105" i="5"/>
  <c r="AF200" i="4"/>
  <c r="AF196" i="4"/>
  <c r="AF194" i="4"/>
  <c r="AF191" i="4"/>
  <c r="AF192" i="4"/>
  <c r="AF104" i="4"/>
  <c r="AG81" i="3"/>
  <c r="P28" i="8"/>
  <c r="P29" i="8"/>
  <c r="P30" i="8"/>
  <c r="P31" i="8"/>
  <c r="AF127" i="5"/>
  <c r="AF128" i="5"/>
  <c r="AF129" i="5"/>
  <c r="AF18" i="5"/>
  <c r="AF30" i="5"/>
  <c r="AF134" i="5"/>
  <c r="AF135" i="5"/>
  <c r="AF136" i="5"/>
  <c r="AF95" i="5"/>
  <c r="AF96" i="5"/>
  <c r="AF91" i="5"/>
  <c r="P25" i="8"/>
  <c r="P24" i="8"/>
  <c r="P19" i="8"/>
  <c r="T11" i="8"/>
  <c r="P4" i="8"/>
  <c r="T168" i="5"/>
  <c r="P168" i="5"/>
  <c r="P169" i="5"/>
  <c r="X138" i="5"/>
  <c r="AE138" i="5"/>
  <c r="AD138" i="5"/>
  <c r="AC138" i="5"/>
  <c r="AE133" i="5"/>
  <c r="AD133" i="5"/>
  <c r="AC133" i="5"/>
  <c r="AE132" i="5"/>
  <c r="AD132" i="5"/>
  <c r="AC132" i="5"/>
  <c r="AE131" i="5"/>
  <c r="AD131" i="5"/>
  <c r="AC131" i="5"/>
  <c r="X133" i="5"/>
  <c r="X132" i="5"/>
  <c r="X131" i="5"/>
  <c r="T133" i="5"/>
  <c r="T132" i="5"/>
  <c r="T131" i="5"/>
  <c r="AE105" i="5"/>
  <c r="AD105" i="5"/>
  <c r="AC105" i="5"/>
  <c r="AB105" i="5"/>
  <c r="X105" i="5"/>
  <c r="P105" i="5"/>
  <c r="P82" i="5"/>
  <c r="P81" i="5"/>
  <c r="P80" i="5"/>
  <c r="P79" i="5"/>
  <c r="AB40" i="8"/>
  <c r="AB39" i="8"/>
  <c r="AB38" i="8"/>
  <c r="AB35" i="8"/>
  <c r="AB34" i="8"/>
  <c r="AB33" i="8"/>
  <c r="X5" i="8"/>
  <c r="T43" i="8"/>
  <c r="T42" i="8"/>
  <c r="T40" i="8"/>
  <c r="T39" i="8"/>
  <c r="T38" i="8"/>
  <c r="T35" i="8"/>
  <c r="T34" i="8"/>
  <c r="T33" i="8"/>
  <c r="T26" i="8"/>
  <c r="T25" i="8"/>
  <c r="T24" i="8"/>
  <c r="T23" i="8"/>
  <c r="T22" i="8"/>
  <c r="T20" i="8"/>
  <c r="T19" i="8"/>
  <c r="T18" i="8"/>
  <c r="T17" i="8"/>
  <c r="T12" i="8"/>
  <c r="T9" i="8"/>
  <c r="T8" i="8"/>
  <c r="T4" i="8"/>
  <c r="AE10" i="8"/>
  <c r="AD10" i="8"/>
  <c r="AC10" i="8"/>
  <c r="AB10" i="8"/>
  <c r="W10" i="8"/>
  <c r="V10" i="8"/>
  <c r="U10" i="8"/>
  <c r="T10" i="8"/>
  <c r="AA10" i="8"/>
  <c r="Z10" i="8"/>
  <c r="Y10" i="8"/>
  <c r="X10" i="8"/>
  <c r="S10" i="8"/>
  <c r="R10" i="8"/>
  <c r="Q10" i="8"/>
  <c r="P10" i="8"/>
  <c r="AE6" i="8"/>
  <c r="AD6" i="8"/>
  <c r="AC6" i="8"/>
  <c r="AB6" i="8"/>
  <c r="W6" i="8"/>
  <c r="V6" i="8"/>
  <c r="U6" i="8"/>
  <c r="T6" i="8"/>
  <c r="AA6" i="8"/>
  <c r="Z6" i="8"/>
  <c r="Y6" i="8"/>
  <c r="X6" i="8"/>
  <c r="S6" i="8"/>
  <c r="R6" i="8"/>
  <c r="Q6" i="8"/>
  <c r="P6" i="8"/>
  <c r="Q5" i="8"/>
  <c r="R5" i="8"/>
  <c r="S5" i="8"/>
  <c r="P5" i="8"/>
  <c r="AF13" i="8"/>
  <c r="AF23" i="8"/>
  <c r="AF43" i="8"/>
  <c r="AF11" i="8"/>
  <c r="AF12" i="8"/>
  <c r="AF9" i="8"/>
  <c r="AF38" i="8"/>
  <c r="AF39" i="8"/>
  <c r="AF40" i="8"/>
  <c r="AF33" i="8"/>
  <c r="AF34" i="8"/>
  <c r="AF35" i="8"/>
  <c r="AF31" i="8"/>
  <c r="AF30" i="8"/>
  <c r="AF29" i="8"/>
  <c r="AF28" i="8"/>
  <c r="T27" i="7"/>
  <c r="P27" i="7"/>
  <c r="AE17" i="7"/>
  <c r="AD17" i="7"/>
  <c r="AC17" i="7"/>
  <c r="AB17" i="7"/>
  <c r="AB16" i="7"/>
  <c r="AE16" i="7"/>
  <c r="AD16" i="7"/>
  <c r="AC16" i="7"/>
  <c r="AE14" i="7"/>
  <c r="AD14" i="7"/>
  <c r="AF14" i="7" s="1"/>
  <c r="AC14" i="7"/>
  <c r="AB14" i="7"/>
  <c r="AB13" i="7"/>
  <c r="AE13" i="7"/>
  <c r="AD13" i="7"/>
  <c r="AC13" i="7"/>
  <c r="AF13" i="7" s="1"/>
  <c r="P25" i="7"/>
  <c r="P24" i="7"/>
  <c r="T14" i="7"/>
  <c r="T13" i="7"/>
  <c r="P12" i="8"/>
  <c r="P22" i="7"/>
  <c r="P21" i="7"/>
  <c r="P20" i="7"/>
  <c r="AB22" i="7"/>
  <c r="AB21" i="7"/>
  <c r="AB20" i="7"/>
  <c r="AB25" i="7"/>
  <c r="AB24" i="7"/>
  <c r="AB10" i="7"/>
  <c r="AC10" i="7"/>
  <c r="AD10" i="7"/>
  <c r="AE10" i="7"/>
  <c r="AF10" i="7" s="1"/>
  <c r="AB11" i="7"/>
  <c r="AC11" i="7"/>
  <c r="AD11" i="7"/>
  <c r="AE11" i="7"/>
  <c r="AE9" i="7"/>
  <c r="AD9" i="7"/>
  <c r="AC9" i="7"/>
  <c r="AF9" i="7" s="1"/>
  <c r="AB9" i="7"/>
  <c r="AF27" i="7"/>
  <c r="AF24" i="7"/>
  <c r="AF25" i="7"/>
  <c r="AF17" i="7"/>
  <c r="T5" i="7"/>
  <c r="AB5" i="7"/>
  <c r="AC5" i="7"/>
  <c r="AD5" i="7"/>
  <c r="AF5" i="7" s="1"/>
  <c r="AE5" i="7"/>
  <c r="T6" i="7"/>
  <c r="AB6" i="7"/>
  <c r="AC6" i="7"/>
  <c r="AD6" i="7"/>
  <c r="AE6" i="7"/>
  <c r="T7" i="7"/>
  <c r="AB7" i="7"/>
  <c r="AC7" i="7"/>
  <c r="AD7" i="7"/>
  <c r="AE7" i="7"/>
  <c r="AF20" i="7"/>
  <c r="AF21" i="7"/>
  <c r="AF22" i="7"/>
  <c r="T24" i="7"/>
  <c r="T25" i="7"/>
  <c r="X264" i="3"/>
  <c r="W264" i="3"/>
  <c r="V264" i="3"/>
  <c r="U264" i="3"/>
  <c r="X263" i="3"/>
  <c r="W263" i="3"/>
  <c r="V263" i="3"/>
  <c r="U263" i="3"/>
  <c r="S40" i="3"/>
  <c r="S39" i="3"/>
  <c r="S38" i="3"/>
  <c r="U67" i="3"/>
  <c r="Q23" i="3"/>
  <c r="Q22" i="3"/>
  <c r="Q21" i="3"/>
  <c r="Q20" i="3"/>
  <c r="Q19" i="3"/>
  <c r="Q18" i="3"/>
  <c r="Q17" i="3"/>
  <c r="P262" i="3"/>
  <c r="P261" i="3"/>
  <c r="P260" i="3"/>
  <c r="P258" i="3"/>
  <c r="P259" i="3"/>
  <c r="AG201" i="3"/>
  <c r="Q201" i="3"/>
  <c r="AG200" i="3"/>
  <c r="Q200" i="3"/>
  <c r="AG202" i="3"/>
  <c r="Q202" i="3"/>
  <c r="AF255" i="3"/>
  <c r="AE255" i="3"/>
  <c r="AD255" i="3"/>
  <c r="AC255" i="3"/>
  <c r="AF254" i="3"/>
  <c r="AE254" i="3"/>
  <c r="AD254" i="3"/>
  <c r="AC254" i="3"/>
  <c r="AF253" i="3"/>
  <c r="AE253" i="3"/>
  <c r="AD253" i="3"/>
  <c r="AC253" i="3"/>
  <c r="X255" i="3"/>
  <c r="W255" i="3"/>
  <c r="V255" i="3"/>
  <c r="U255" i="3"/>
  <c r="X254" i="3"/>
  <c r="W254" i="3"/>
  <c r="V254" i="3"/>
  <c r="U254" i="3"/>
  <c r="X253" i="3"/>
  <c r="W253" i="3"/>
  <c r="V253" i="3"/>
  <c r="U253" i="3"/>
  <c r="Q255" i="3"/>
  <c r="Q254" i="3"/>
  <c r="Q253" i="3"/>
  <c r="AD117" i="3"/>
  <c r="AE117" i="3"/>
  <c r="AF117" i="3"/>
  <c r="AC117" i="3"/>
  <c r="U117" i="3"/>
  <c r="Q117" i="3"/>
  <c r="AG82" i="3"/>
  <c r="AD111" i="3"/>
  <c r="AE111" i="3"/>
  <c r="AF111" i="3"/>
  <c r="AC111" i="3"/>
  <c r="AB111" i="3"/>
  <c r="AA111" i="3"/>
  <c r="Z111" i="3"/>
  <c r="Y111" i="3"/>
  <c r="X111" i="3"/>
  <c r="W111" i="3"/>
  <c r="V111" i="3"/>
  <c r="U111" i="3"/>
  <c r="AD110" i="3"/>
  <c r="AE110" i="3"/>
  <c r="AF110" i="3"/>
  <c r="AC110" i="3"/>
  <c r="AB110" i="3"/>
  <c r="AA110" i="3"/>
  <c r="Z110" i="3"/>
  <c r="Y110" i="3"/>
  <c r="X110" i="3"/>
  <c r="W110" i="3"/>
  <c r="V110" i="3"/>
  <c r="U110" i="3"/>
  <c r="AD109" i="3"/>
  <c r="AE109" i="3"/>
  <c r="AF109" i="3"/>
  <c r="AC109" i="3"/>
  <c r="AB109" i="3"/>
  <c r="AA109" i="3"/>
  <c r="Z109" i="3"/>
  <c r="Y109" i="3"/>
  <c r="X109" i="3"/>
  <c r="W109" i="3"/>
  <c r="V109" i="3"/>
  <c r="U109" i="3"/>
  <c r="AG83" i="3"/>
  <c r="AD74" i="3"/>
  <c r="AE74" i="3"/>
  <c r="AF74" i="3"/>
  <c r="AC74" i="3"/>
  <c r="AB74" i="3"/>
  <c r="AA74" i="3"/>
  <c r="Z74" i="3"/>
  <c r="Y74" i="3"/>
  <c r="X74" i="3"/>
  <c r="W74" i="3"/>
  <c r="V74" i="3"/>
  <c r="U74" i="3"/>
  <c r="Q111" i="3"/>
  <c r="Q110" i="3"/>
  <c r="Q109" i="3"/>
  <c r="AG264" i="3"/>
  <c r="Q264" i="3"/>
  <c r="AG263" i="3"/>
  <c r="Q263" i="3"/>
  <c r="T262" i="3"/>
  <c r="S262" i="3"/>
  <c r="R262" i="3"/>
  <c r="Q262" i="3"/>
  <c r="Q261" i="3"/>
  <c r="AG258" i="3"/>
  <c r="AG259" i="3"/>
  <c r="AG260" i="3"/>
  <c r="AG261" i="3"/>
  <c r="AG262" i="3"/>
  <c r="AG267" i="3"/>
  <c r="AG272" i="3"/>
  <c r="Q218" i="3"/>
  <c r="Q217" i="3"/>
  <c r="Q199" i="3"/>
  <c r="Q198" i="3"/>
  <c r="Q197" i="3"/>
  <c r="Q196" i="3"/>
  <c r="Q195" i="3"/>
  <c r="Q194" i="3"/>
  <c r="Q193" i="3"/>
  <c r="Q192" i="3"/>
  <c r="Q187" i="3"/>
  <c r="Q186" i="3"/>
  <c r="Q185" i="3"/>
  <c r="Q184" i="3"/>
  <c r="Q183" i="3"/>
  <c r="Q182" i="3"/>
  <c r="Q181" i="3"/>
  <c r="Q180" i="3"/>
  <c r="Q189" i="3"/>
  <c r="AG176" i="3"/>
  <c r="U176" i="3"/>
  <c r="Q176" i="3"/>
  <c r="AG175" i="3"/>
  <c r="Y175" i="3"/>
  <c r="U175" i="3"/>
  <c r="Q175" i="3"/>
  <c r="AG149" i="3"/>
  <c r="AG114" i="3"/>
  <c r="U114" i="3"/>
  <c r="Q114" i="3"/>
  <c r="AF121" i="3"/>
  <c r="AE121" i="3"/>
  <c r="AD121" i="3"/>
  <c r="AC121" i="3"/>
  <c r="AF120" i="3"/>
  <c r="AE120" i="3"/>
  <c r="AD120" i="3"/>
  <c r="AC120" i="3"/>
  <c r="AF123" i="3"/>
  <c r="AE123" i="3"/>
  <c r="AD123" i="3"/>
  <c r="AC123" i="3"/>
  <c r="AF122" i="3"/>
  <c r="AE122" i="3"/>
  <c r="AD122" i="3"/>
  <c r="AC122" i="3"/>
  <c r="AF119" i="3"/>
  <c r="AE119" i="3"/>
  <c r="AD119" i="3"/>
  <c r="AC119" i="3"/>
  <c r="AB121" i="3"/>
  <c r="AA121" i="3"/>
  <c r="Z121" i="3"/>
  <c r="Y121" i="3"/>
  <c r="AB120" i="3"/>
  <c r="AA120" i="3"/>
  <c r="Z120" i="3"/>
  <c r="Y120" i="3"/>
  <c r="AB123" i="3"/>
  <c r="AA123" i="3"/>
  <c r="Z123" i="3"/>
  <c r="Y123" i="3"/>
  <c r="AB122" i="3"/>
  <c r="AA122" i="3"/>
  <c r="Z122" i="3"/>
  <c r="Y122" i="3"/>
  <c r="AB119" i="3"/>
  <c r="AA119" i="3"/>
  <c r="Z119" i="3"/>
  <c r="Y119" i="3"/>
  <c r="X121" i="3"/>
  <c r="W121" i="3"/>
  <c r="V121" i="3"/>
  <c r="U121" i="3"/>
  <c r="X120" i="3"/>
  <c r="W120" i="3"/>
  <c r="V120" i="3"/>
  <c r="U120" i="3"/>
  <c r="X123" i="3"/>
  <c r="W123" i="3"/>
  <c r="V123" i="3"/>
  <c r="U123" i="3"/>
  <c r="X122" i="3"/>
  <c r="W122" i="3"/>
  <c r="V122" i="3"/>
  <c r="U122" i="3"/>
  <c r="X119" i="3"/>
  <c r="W119" i="3"/>
  <c r="V119" i="3"/>
  <c r="U119" i="3"/>
  <c r="AC115" i="3"/>
  <c r="AD115" i="3"/>
  <c r="AE115" i="3"/>
  <c r="AF115" i="3"/>
  <c r="AC116" i="3"/>
  <c r="AD116" i="3"/>
  <c r="AE116" i="3"/>
  <c r="AF116" i="3"/>
  <c r="AC107" i="3"/>
  <c r="U115" i="3"/>
  <c r="Q115" i="3"/>
  <c r="Q52" i="3"/>
  <c r="Q53" i="3"/>
  <c r="Q54" i="3"/>
  <c r="Q51" i="3"/>
  <c r="U85" i="3"/>
  <c r="V85" i="3"/>
  <c r="W85" i="3"/>
  <c r="X85" i="3"/>
  <c r="Y85" i="3"/>
  <c r="Z85" i="3"/>
  <c r="AA85" i="3"/>
  <c r="AB85" i="3"/>
  <c r="AC85" i="3"/>
  <c r="AD85" i="3"/>
  <c r="AE85" i="3"/>
  <c r="AF85" i="3"/>
  <c r="U86" i="3"/>
  <c r="V86" i="3"/>
  <c r="W86" i="3"/>
  <c r="X86" i="3"/>
  <c r="Y86" i="3"/>
  <c r="Z86" i="3"/>
  <c r="AA86" i="3"/>
  <c r="AB86" i="3"/>
  <c r="AC86" i="3"/>
  <c r="AD86" i="3"/>
  <c r="AE86" i="3"/>
  <c r="AF86" i="3"/>
  <c r="U87" i="3"/>
  <c r="V87" i="3"/>
  <c r="W87" i="3"/>
  <c r="X87" i="3"/>
  <c r="Y87" i="3"/>
  <c r="Z87" i="3"/>
  <c r="AA87" i="3"/>
  <c r="AB87" i="3"/>
  <c r="AC87" i="3"/>
  <c r="AD87" i="3"/>
  <c r="AE87" i="3"/>
  <c r="AF87" i="3"/>
  <c r="U88" i="3"/>
  <c r="V88" i="3"/>
  <c r="W88" i="3"/>
  <c r="X88" i="3"/>
  <c r="Y88" i="3"/>
  <c r="Z88" i="3"/>
  <c r="AA88" i="3"/>
  <c r="AB88" i="3"/>
  <c r="AC88" i="3"/>
  <c r="AD88" i="3"/>
  <c r="AE88" i="3"/>
  <c r="AF88" i="3"/>
  <c r="U89" i="3"/>
  <c r="V89" i="3"/>
  <c r="W89" i="3"/>
  <c r="X89" i="3"/>
  <c r="Y89" i="3"/>
  <c r="Z89" i="3"/>
  <c r="AA89" i="3"/>
  <c r="AB89" i="3"/>
  <c r="AC89" i="3"/>
  <c r="AD89" i="3"/>
  <c r="AE89" i="3"/>
  <c r="AF89" i="3"/>
  <c r="U90" i="3"/>
  <c r="V90" i="3"/>
  <c r="W90" i="3"/>
  <c r="X90" i="3"/>
  <c r="Y90" i="3"/>
  <c r="Z90" i="3"/>
  <c r="AA90" i="3"/>
  <c r="AB90" i="3"/>
  <c r="AC90" i="3"/>
  <c r="AD90" i="3"/>
  <c r="AE90" i="3"/>
  <c r="AF90" i="3"/>
  <c r="U91" i="3"/>
  <c r="V91" i="3"/>
  <c r="W91" i="3"/>
  <c r="X91" i="3"/>
  <c r="Y91" i="3"/>
  <c r="Z91" i="3"/>
  <c r="AA91" i="3"/>
  <c r="AB91" i="3"/>
  <c r="AC91" i="3"/>
  <c r="AD91" i="3"/>
  <c r="AE91" i="3"/>
  <c r="AF91" i="3"/>
  <c r="U92" i="3"/>
  <c r="V92" i="3"/>
  <c r="W92" i="3"/>
  <c r="X92" i="3"/>
  <c r="Y92" i="3"/>
  <c r="Z92" i="3"/>
  <c r="AA92" i="3"/>
  <c r="AB92" i="3"/>
  <c r="AC92" i="3"/>
  <c r="AD92" i="3"/>
  <c r="AE92" i="3"/>
  <c r="AF92" i="3"/>
  <c r="U93" i="3"/>
  <c r="V93" i="3"/>
  <c r="W93" i="3"/>
  <c r="X93" i="3"/>
  <c r="Y93" i="3"/>
  <c r="Z93" i="3"/>
  <c r="AA93" i="3"/>
  <c r="AB93" i="3"/>
  <c r="AC93" i="3"/>
  <c r="AD93" i="3"/>
  <c r="AE93" i="3"/>
  <c r="AF93" i="3"/>
  <c r="U94" i="3"/>
  <c r="V94" i="3"/>
  <c r="W94" i="3"/>
  <c r="X94" i="3"/>
  <c r="Y94" i="3"/>
  <c r="Z94" i="3"/>
  <c r="AA94" i="3"/>
  <c r="AB94" i="3"/>
  <c r="AC94" i="3"/>
  <c r="AD94" i="3"/>
  <c r="AE94" i="3"/>
  <c r="AF94" i="3"/>
  <c r="U95" i="3"/>
  <c r="V95" i="3"/>
  <c r="W95" i="3"/>
  <c r="X95" i="3"/>
  <c r="Y95" i="3"/>
  <c r="Z95" i="3"/>
  <c r="AA95" i="3"/>
  <c r="AB95" i="3"/>
  <c r="AC95" i="3"/>
  <c r="AD95" i="3"/>
  <c r="AE95" i="3"/>
  <c r="AF95" i="3"/>
  <c r="U96" i="3"/>
  <c r="V96" i="3"/>
  <c r="W96" i="3"/>
  <c r="X96" i="3"/>
  <c r="Y96" i="3"/>
  <c r="Z96" i="3"/>
  <c r="AA96" i="3"/>
  <c r="AB96" i="3"/>
  <c r="AC96" i="3"/>
  <c r="AD96" i="3"/>
  <c r="AE96" i="3"/>
  <c r="AF96" i="3"/>
  <c r="U97" i="3"/>
  <c r="V97" i="3"/>
  <c r="W97" i="3"/>
  <c r="X97" i="3"/>
  <c r="Y97" i="3"/>
  <c r="Z97" i="3"/>
  <c r="AA97" i="3"/>
  <c r="AB97" i="3"/>
  <c r="AC97" i="3"/>
  <c r="AD97" i="3"/>
  <c r="AE97" i="3"/>
  <c r="AF97" i="3"/>
  <c r="U98" i="3"/>
  <c r="V98" i="3"/>
  <c r="W98" i="3"/>
  <c r="X98" i="3"/>
  <c r="Y98" i="3"/>
  <c r="Z98" i="3"/>
  <c r="AA98" i="3"/>
  <c r="AB98" i="3"/>
  <c r="AC98" i="3"/>
  <c r="AD98" i="3"/>
  <c r="AE98" i="3"/>
  <c r="AF98" i="3"/>
  <c r="U99" i="3"/>
  <c r="V99" i="3"/>
  <c r="W99" i="3"/>
  <c r="X99" i="3"/>
  <c r="Y99" i="3"/>
  <c r="Z99" i="3"/>
  <c r="AA99" i="3"/>
  <c r="AB99" i="3"/>
  <c r="AC99" i="3"/>
  <c r="AD99" i="3"/>
  <c r="AE99" i="3"/>
  <c r="AF99" i="3"/>
  <c r="U100" i="3"/>
  <c r="V100" i="3"/>
  <c r="W100" i="3"/>
  <c r="X100" i="3"/>
  <c r="Y100" i="3"/>
  <c r="Z100" i="3"/>
  <c r="AA100" i="3"/>
  <c r="AB100" i="3"/>
  <c r="AC100" i="3"/>
  <c r="AD100" i="3"/>
  <c r="AE100" i="3"/>
  <c r="AF100" i="3"/>
  <c r="U101" i="3"/>
  <c r="V101" i="3"/>
  <c r="W101" i="3"/>
  <c r="X101" i="3"/>
  <c r="Y101" i="3"/>
  <c r="Z101" i="3"/>
  <c r="AA101" i="3"/>
  <c r="AB101" i="3"/>
  <c r="AC101" i="3"/>
  <c r="AD101" i="3"/>
  <c r="AE101" i="3"/>
  <c r="AF101" i="3"/>
  <c r="U102" i="3"/>
  <c r="V102" i="3"/>
  <c r="W102" i="3"/>
  <c r="X102" i="3"/>
  <c r="Y102" i="3"/>
  <c r="Z102" i="3"/>
  <c r="AA102" i="3"/>
  <c r="AB102" i="3"/>
  <c r="AC102" i="3"/>
  <c r="AD102" i="3"/>
  <c r="AE102" i="3"/>
  <c r="AF102" i="3"/>
  <c r="U103" i="3"/>
  <c r="V103" i="3"/>
  <c r="W103" i="3"/>
  <c r="X103" i="3"/>
  <c r="Y103" i="3"/>
  <c r="Z103" i="3"/>
  <c r="AA103" i="3"/>
  <c r="AB103" i="3"/>
  <c r="AC103" i="3"/>
  <c r="AD103" i="3"/>
  <c r="AE103" i="3"/>
  <c r="AF103" i="3"/>
  <c r="U104" i="3"/>
  <c r="V104" i="3"/>
  <c r="W104" i="3"/>
  <c r="X104" i="3"/>
  <c r="Y104" i="3"/>
  <c r="Z104" i="3"/>
  <c r="AA104" i="3"/>
  <c r="AB104" i="3"/>
  <c r="AC104" i="3"/>
  <c r="AD104" i="3"/>
  <c r="AE104" i="3"/>
  <c r="AF104" i="3"/>
  <c r="U105" i="3"/>
  <c r="V105" i="3"/>
  <c r="W105" i="3"/>
  <c r="X105" i="3"/>
  <c r="Y105" i="3"/>
  <c r="Z105" i="3"/>
  <c r="AA105" i="3"/>
  <c r="AB105" i="3"/>
  <c r="AC105" i="3"/>
  <c r="AD105" i="3"/>
  <c r="AE105" i="3"/>
  <c r="AF105" i="3"/>
  <c r="U106" i="3"/>
  <c r="V106" i="3"/>
  <c r="W106" i="3"/>
  <c r="X106" i="3"/>
  <c r="Y106" i="3"/>
  <c r="Z106" i="3"/>
  <c r="AA106" i="3"/>
  <c r="AB106" i="3"/>
  <c r="AC106" i="3"/>
  <c r="AD106" i="3"/>
  <c r="AE106" i="3"/>
  <c r="AF106" i="3"/>
  <c r="U107" i="3"/>
  <c r="V107" i="3"/>
  <c r="W107" i="3"/>
  <c r="X107" i="3"/>
  <c r="Y107" i="3"/>
  <c r="Z107" i="3"/>
  <c r="AA107" i="3"/>
  <c r="AB107" i="3"/>
  <c r="AD107" i="3"/>
  <c r="AE107" i="3"/>
  <c r="AF107" i="3"/>
  <c r="U108" i="3"/>
  <c r="V108" i="3"/>
  <c r="W108" i="3"/>
  <c r="X108" i="3"/>
  <c r="Y108" i="3"/>
  <c r="Z108" i="3"/>
  <c r="AA108" i="3"/>
  <c r="AB108" i="3"/>
  <c r="AC108" i="3"/>
  <c r="AD108" i="3"/>
  <c r="AE108" i="3"/>
  <c r="AF108" i="3"/>
  <c r="AF84" i="3"/>
  <c r="AE84" i="3"/>
  <c r="AD84" i="3"/>
  <c r="AC84" i="3"/>
  <c r="AB84" i="3"/>
  <c r="AA84" i="3"/>
  <c r="Z84" i="3"/>
  <c r="Y84" i="3"/>
  <c r="X84" i="3"/>
  <c r="W84" i="3"/>
  <c r="V84" i="3"/>
  <c r="U84" i="3"/>
  <c r="Q108" i="3"/>
  <c r="Q106" i="3"/>
  <c r="Q105" i="3"/>
  <c r="AC69" i="3"/>
  <c r="AD69" i="3"/>
  <c r="AE69" i="3"/>
  <c r="AF69" i="3"/>
  <c r="AC70" i="3"/>
  <c r="AD70" i="3"/>
  <c r="AE70" i="3"/>
  <c r="AF70" i="3"/>
  <c r="AC71" i="3"/>
  <c r="AD71" i="3"/>
  <c r="AE71" i="3"/>
  <c r="AF71" i="3"/>
  <c r="AC72" i="3"/>
  <c r="AD72" i="3"/>
  <c r="AE72" i="3"/>
  <c r="AF72" i="3"/>
  <c r="AC73" i="3"/>
  <c r="AD73" i="3"/>
  <c r="AE73" i="3"/>
  <c r="AF73" i="3"/>
  <c r="AF68" i="3"/>
  <c r="AE68" i="3"/>
  <c r="AD68" i="3"/>
  <c r="AC68" i="3"/>
  <c r="Y69" i="3"/>
  <c r="Z69" i="3"/>
  <c r="AA69" i="3"/>
  <c r="AB69" i="3"/>
  <c r="Y70" i="3"/>
  <c r="Z70" i="3"/>
  <c r="AA70" i="3"/>
  <c r="AB70" i="3"/>
  <c r="Y71" i="3"/>
  <c r="Z71" i="3"/>
  <c r="AA71" i="3"/>
  <c r="AB71" i="3"/>
  <c r="Y72" i="3"/>
  <c r="Z72" i="3"/>
  <c r="AA72" i="3"/>
  <c r="AB72" i="3"/>
  <c r="Y73" i="3"/>
  <c r="Z73" i="3"/>
  <c r="AA73" i="3"/>
  <c r="AB73" i="3"/>
  <c r="AA68" i="3"/>
  <c r="Z68" i="3"/>
  <c r="AB68" i="3"/>
  <c r="Y68" i="3"/>
  <c r="X73" i="3"/>
  <c r="W73" i="3"/>
  <c r="V73" i="3"/>
  <c r="U73" i="3"/>
  <c r="X72" i="3"/>
  <c r="W72" i="3"/>
  <c r="V72" i="3"/>
  <c r="U72" i="3"/>
  <c r="X71" i="3"/>
  <c r="W71" i="3"/>
  <c r="V71" i="3"/>
  <c r="U71" i="3"/>
  <c r="X70" i="3"/>
  <c r="W70" i="3"/>
  <c r="V70" i="3"/>
  <c r="U70" i="3"/>
  <c r="X69" i="3"/>
  <c r="W69" i="3"/>
  <c r="V69" i="3"/>
  <c r="U69" i="3"/>
  <c r="X68" i="3"/>
  <c r="W68" i="3"/>
  <c r="V68" i="3"/>
  <c r="U68" i="3"/>
  <c r="Y67" i="3"/>
  <c r="AC67" i="3"/>
  <c r="AF63" i="3"/>
  <c r="AE63" i="3"/>
  <c r="AD63" i="3"/>
  <c r="AA63" i="3"/>
  <c r="Z63" i="3"/>
  <c r="AB63" i="3"/>
  <c r="AC63" i="3"/>
  <c r="Y63" i="3"/>
  <c r="X63" i="3"/>
  <c r="W63" i="3"/>
  <c r="V63" i="3"/>
  <c r="U63" i="3"/>
  <c r="Y60" i="3"/>
  <c r="Z60" i="3"/>
  <c r="AA60" i="3"/>
  <c r="AB60" i="3"/>
  <c r="AC60" i="3"/>
  <c r="AD60" i="3"/>
  <c r="AE60" i="3"/>
  <c r="AF60" i="3"/>
  <c r="AC58" i="3"/>
  <c r="AD58" i="3"/>
  <c r="AE58" i="3"/>
  <c r="AF58" i="3"/>
  <c r="AC59" i="3"/>
  <c r="AD59" i="3"/>
  <c r="AE59" i="3"/>
  <c r="AF59" i="3"/>
  <c r="AE57" i="3"/>
  <c r="AD57" i="3"/>
  <c r="AF57" i="3"/>
  <c r="AC57" i="3"/>
  <c r="Y58" i="3"/>
  <c r="Z58" i="3"/>
  <c r="AA58" i="3"/>
  <c r="AB58" i="3"/>
  <c r="Y59" i="3"/>
  <c r="Z59" i="3"/>
  <c r="AA59" i="3"/>
  <c r="AB59" i="3"/>
  <c r="Z57" i="3"/>
  <c r="AA57" i="3"/>
  <c r="AB57" i="3"/>
  <c r="Y57" i="3"/>
  <c r="U60" i="3"/>
  <c r="V60" i="3"/>
  <c r="W60" i="3"/>
  <c r="X60" i="3"/>
  <c r="U58" i="3"/>
  <c r="V58" i="3"/>
  <c r="W58" i="3"/>
  <c r="X58" i="3"/>
  <c r="U59" i="3"/>
  <c r="V59" i="3"/>
  <c r="W59" i="3"/>
  <c r="X59" i="3"/>
  <c r="W57" i="3"/>
  <c r="V57" i="3"/>
  <c r="X57" i="3"/>
  <c r="U57" i="3"/>
  <c r="AC52" i="3"/>
  <c r="AD52" i="3"/>
  <c r="AE52" i="3"/>
  <c r="AF52" i="3"/>
  <c r="AC53" i="3"/>
  <c r="AD53" i="3"/>
  <c r="AE53" i="3"/>
  <c r="AF53" i="3"/>
  <c r="AC54" i="3"/>
  <c r="AD54" i="3"/>
  <c r="AE54" i="3"/>
  <c r="AF54" i="3"/>
  <c r="AF51" i="3"/>
  <c r="AE51" i="3"/>
  <c r="AD51" i="3"/>
  <c r="AC51" i="3"/>
  <c r="U52" i="3"/>
  <c r="V52" i="3"/>
  <c r="W52" i="3"/>
  <c r="X52" i="3"/>
  <c r="U53" i="3"/>
  <c r="V53" i="3"/>
  <c r="W53" i="3"/>
  <c r="X53" i="3"/>
  <c r="U54" i="3"/>
  <c r="V54" i="3"/>
  <c r="W54" i="3"/>
  <c r="X54" i="3"/>
  <c r="X51" i="3"/>
  <c r="W51" i="3"/>
  <c r="V51" i="3"/>
  <c r="U51" i="3"/>
  <c r="AC48" i="3"/>
  <c r="AD48" i="3"/>
  <c r="AE48" i="3"/>
  <c r="AF48" i="3"/>
  <c r="Y48" i="3"/>
  <c r="Z48" i="3"/>
  <c r="AA48" i="3"/>
  <c r="AB48" i="3"/>
  <c r="U48" i="3"/>
  <c r="Q5" i="3"/>
  <c r="R5" i="3"/>
  <c r="S5" i="3"/>
  <c r="T5" i="3"/>
  <c r="Q6" i="3"/>
  <c r="R6" i="3"/>
  <c r="S6" i="3"/>
  <c r="T6" i="3"/>
  <c r="Q7" i="3"/>
  <c r="R7" i="3"/>
  <c r="S7" i="3"/>
  <c r="T7" i="3"/>
  <c r="Q8" i="3"/>
  <c r="R8" i="3"/>
  <c r="S8" i="3"/>
  <c r="T8" i="3"/>
  <c r="Q9" i="3"/>
  <c r="R9" i="3"/>
  <c r="S9" i="3"/>
  <c r="T9" i="3"/>
  <c r="Q10" i="3"/>
  <c r="R10" i="3"/>
  <c r="S10" i="3"/>
  <c r="T10" i="3"/>
  <c r="Q11" i="3"/>
  <c r="R11" i="3"/>
  <c r="S11" i="3"/>
  <c r="T11" i="3"/>
  <c r="Q12" i="3"/>
  <c r="R12" i="3"/>
  <c r="S12" i="3"/>
  <c r="T12" i="3"/>
  <c r="Q13" i="3"/>
  <c r="R13" i="3"/>
  <c r="S13" i="3"/>
  <c r="T13" i="3"/>
  <c r="Q14" i="3"/>
  <c r="R14" i="3"/>
  <c r="S14" i="3"/>
  <c r="T14" i="3"/>
  <c r="Q15" i="3"/>
  <c r="R15" i="3"/>
  <c r="S15" i="3"/>
  <c r="T15" i="3"/>
  <c r="Q16" i="3"/>
  <c r="R16" i="3"/>
  <c r="S16" i="3"/>
  <c r="T16" i="3"/>
  <c r="Q4" i="3"/>
  <c r="R4" i="3"/>
  <c r="S4" i="3"/>
  <c r="T4" i="3"/>
  <c r="AG15" i="3"/>
  <c r="AC18" i="3"/>
  <c r="AD18" i="3"/>
  <c r="AE18" i="3"/>
  <c r="AF18" i="3"/>
  <c r="AC19" i="3"/>
  <c r="AD19" i="3"/>
  <c r="AE19" i="3"/>
  <c r="AF19" i="3"/>
  <c r="AC20" i="3"/>
  <c r="AD20" i="3"/>
  <c r="AE20" i="3"/>
  <c r="AF20" i="3"/>
  <c r="AC21" i="3"/>
  <c r="AD21" i="3"/>
  <c r="AE21" i="3"/>
  <c r="AF21" i="3"/>
  <c r="AC22" i="3"/>
  <c r="AD22" i="3"/>
  <c r="AE22" i="3"/>
  <c r="AF22" i="3"/>
  <c r="AC23" i="3"/>
  <c r="AD23" i="3"/>
  <c r="AE23" i="3"/>
  <c r="AF23" i="3"/>
  <c r="AF17" i="3"/>
  <c r="AE17" i="3"/>
  <c r="AD17" i="3"/>
  <c r="AC17" i="3"/>
  <c r="U18" i="3"/>
  <c r="V18" i="3"/>
  <c r="W18" i="3"/>
  <c r="X18" i="3"/>
  <c r="U19" i="3"/>
  <c r="V19" i="3"/>
  <c r="W19" i="3"/>
  <c r="X19" i="3"/>
  <c r="U20" i="3"/>
  <c r="V20" i="3"/>
  <c r="W20" i="3"/>
  <c r="X20" i="3"/>
  <c r="U21" i="3"/>
  <c r="V21" i="3"/>
  <c r="W21" i="3"/>
  <c r="X21" i="3"/>
  <c r="U22" i="3"/>
  <c r="V22" i="3"/>
  <c r="W22" i="3"/>
  <c r="X22" i="3"/>
  <c r="U23" i="3"/>
  <c r="V23" i="3"/>
  <c r="W23" i="3"/>
  <c r="X23" i="3"/>
  <c r="V17" i="3"/>
  <c r="W17" i="3"/>
  <c r="X17" i="3"/>
  <c r="U17" i="3"/>
  <c r="AC5" i="3"/>
  <c r="AD5" i="3"/>
  <c r="AE5" i="3"/>
  <c r="AF5" i="3"/>
  <c r="AC6" i="3"/>
  <c r="AD6" i="3"/>
  <c r="AE6" i="3"/>
  <c r="AF6" i="3"/>
  <c r="AC7" i="3"/>
  <c r="AD7" i="3"/>
  <c r="AE7" i="3"/>
  <c r="AF7" i="3"/>
  <c r="AC8" i="3"/>
  <c r="AD8" i="3"/>
  <c r="AE8" i="3"/>
  <c r="AF8" i="3"/>
  <c r="AC9" i="3"/>
  <c r="AD9" i="3"/>
  <c r="AE9" i="3"/>
  <c r="AF9" i="3"/>
  <c r="AC10" i="3"/>
  <c r="AD10" i="3"/>
  <c r="AE10" i="3"/>
  <c r="AF10" i="3"/>
  <c r="AC11" i="3"/>
  <c r="AD11" i="3"/>
  <c r="AE11" i="3"/>
  <c r="AF11" i="3"/>
  <c r="AC4" i="3"/>
  <c r="AD4" i="3"/>
  <c r="AE4" i="3"/>
  <c r="AF4" i="3"/>
  <c r="Y5" i="3"/>
  <c r="Z5" i="3"/>
  <c r="AA5" i="3"/>
  <c r="AB5" i="3"/>
  <c r="Y6" i="3"/>
  <c r="Z6" i="3"/>
  <c r="AA6" i="3"/>
  <c r="AB6" i="3"/>
  <c r="Y7" i="3"/>
  <c r="Z7" i="3"/>
  <c r="AA7" i="3"/>
  <c r="AB7" i="3"/>
  <c r="Y8" i="3"/>
  <c r="Z8" i="3"/>
  <c r="AA8" i="3"/>
  <c r="AB8" i="3"/>
  <c r="Y9" i="3"/>
  <c r="Z9" i="3"/>
  <c r="AA9" i="3"/>
  <c r="AB9" i="3"/>
  <c r="Y10" i="3"/>
  <c r="Z10" i="3"/>
  <c r="AA10" i="3"/>
  <c r="AB10" i="3"/>
  <c r="Y11" i="3"/>
  <c r="Z11" i="3"/>
  <c r="AA11" i="3"/>
  <c r="AB11" i="3"/>
  <c r="Y4" i="3"/>
  <c r="Z4" i="3"/>
  <c r="AA4" i="3"/>
  <c r="AB4" i="3"/>
  <c r="U5" i="3"/>
  <c r="V5" i="3"/>
  <c r="W5" i="3"/>
  <c r="X5" i="3"/>
  <c r="U6" i="3"/>
  <c r="V6" i="3"/>
  <c r="W6" i="3"/>
  <c r="X6" i="3"/>
  <c r="U7" i="3"/>
  <c r="V7" i="3"/>
  <c r="W7" i="3"/>
  <c r="X7" i="3"/>
  <c r="U8" i="3"/>
  <c r="V8" i="3"/>
  <c r="W8" i="3"/>
  <c r="X8" i="3"/>
  <c r="U9" i="3"/>
  <c r="V9" i="3"/>
  <c r="W9" i="3"/>
  <c r="X9" i="3"/>
  <c r="U10" i="3"/>
  <c r="V10" i="3"/>
  <c r="W10" i="3"/>
  <c r="X10" i="3"/>
  <c r="U11" i="3"/>
  <c r="V11" i="3"/>
  <c r="W11" i="3"/>
  <c r="X11" i="3"/>
  <c r="V4" i="3"/>
  <c r="W4" i="3"/>
  <c r="X4" i="3"/>
  <c r="U4" i="3"/>
  <c r="AC39" i="3"/>
  <c r="AD39" i="3"/>
  <c r="AE39" i="3"/>
  <c r="AF39" i="3"/>
  <c r="AC40" i="3"/>
  <c r="AD40" i="3"/>
  <c r="AE40" i="3"/>
  <c r="AF40" i="3"/>
  <c r="AC38" i="3"/>
  <c r="AD38" i="3"/>
  <c r="AE38" i="3"/>
  <c r="AF38" i="3"/>
  <c r="Y39" i="3"/>
  <c r="Z39" i="3"/>
  <c r="AA39" i="3"/>
  <c r="AB39" i="3"/>
  <c r="Y40" i="3"/>
  <c r="Z40" i="3"/>
  <c r="AA40" i="3"/>
  <c r="AB40" i="3"/>
  <c r="Y38" i="3"/>
  <c r="Z38" i="3"/>
  <c r="AA38" i="3"/>
  <c r="AB38" i="3"/>
  <c r="U39" i="3"/>
  <c r="V39" i="3"/>
  <c r="W39" i="3"/>
  <c r="X39" i="3"/>
  <c r="U40" i="3"/>
  <c r="V40" i="3"/>
  <c r="W40" i="3"/>
  <c r="X40" i="3"/>
  <c r="U38" i="3"/>
  <c r="V38" i="3"/>
  <c r="X38" i="3"/>
  <c r="W38" i="3"/>
  <c r="AC29" i="3"/>
  <c r="AD29" i="3"/>
  <c r="AE29" i="3"/>
  <c r="AF29" i="3"/>
  <c r="AC30" i="3"/>
  <c r="AD30" i="3"/>
  <c r="AE30" i="3"/>
  <c r="AF30" i="3"/>
  <c r="AC31" i="3"/>
  <c r="AD31" i="3"/>
  <c r="AE31" i="3"/>
  <c r="AF31" i="3"/>
  <c r="AC27" i="3"/>
  <c r="AD27" i="3"/>
  <c r="AE27" i="3"/>
  <c r="AF27" i="3"/>
  <c r="AC32" i="3"/>
  <c r="AD32" i="3"/>
  <c r="AE32" i="3"/>
  <c r="AF32" i="3"/>
  <c r="AC33" i="3"/>
  <c r="AD33" i="3"/>
  <c r="AE33" i="3"/>
  <c r="AF33" i="3"/>
  <c r="AC34" i="3"/>
  <c r="AD34" i="3"/>
  <c r="AE34" i="3"/>
  <c r="AF34" i="3"/>
  <c r="AC35" i="3"/>
  <c r="AD35" i="3"/>
  <c r="AE35" i="3"/>
  <c r="AF35" i="3"/>
  <c r="AC36" i="3"/>
  <c r="AD36" i="3"/>
  <c r="AE36" i="3"/>
  <c r="AF36" i="3"/>
  <c r="AC28" i="3"/>
  <c r="AD28" i="3"/>
  <c r="AE28" i="3"/>
  <c r="AF28" i="3"/>
  <c r="Y29" i="3"/>
  <c r="Z29" i="3"/>
  <c r="AA29" i="3"/>
  <c r="AB29" i="3"/>
  <c r="Y30" i="3"/>
  <c r="Z30" i="3"/>
  <c r="AA30" i="3"/>
  <c r="AB30" i="3"/>
  <c r="Y31" i="3"/>
  <c r="Z31" i="3"/>
  <c r="AA31" i="3"/>
  <c r="AB31" i="3"/>
  <c r="Y27" i="3"/>
  <c r="Z27" i="3"/>
  <c r="AA27" i="3"/>
  <c r="AB27" i="3"/>
  <c r="Y32" i="3"/>
  <c r="Z32" i="3"/>
  <c r="AA32" i="3"/>
  <c r="AB32" i="3"/>
  <c r="Y33" i="3"/>
  <c r="Z33" i="3"/>
  <c r="AA33" i="3"/>
  <c r="AB33" i="3"/>
  <c r="Y34" i="3"/>
  <c r="Z34" i="3"/>
  <c r="AA34" i="3"/>
  <c r="AB34" i="3"/>
  <c r="Y35" i="3"/>
  <c r="Z35" i="3"/>
  <c r="AA35" i="3"/>
  <c r="AB35" i="3"/>
  <c r="Y36" i="3"/>
  <c r="Z36" i="3"/>
  <c r="AA36" i="3"/>
  <c r="AB36" i="3"/>
  <c r="Z28" i="3"/>
  <c r="AA28" i="3"/>
  <c r="AB28" i="3"/>
  <c r="Y28" i="3"/>
  <c r="V29" i="3"/>
  <c r="W29" i="3"/>
  <c r="X29" i="3"/>
  <c r="V30" i="3"/>
  <c r="W30" i="3"/>
  <c r="X30" i="3"/>
  <c r="V31" i="3"/>
  <c r="W31" i="3"/>
  <c r="X31" i="3"/>
  <c r="V27" i="3"/>
  <c r="W27" i="3"/>
  <c r="X27" i="3"/>
  <c r="V32" i="3"/>
  <c r="W32" i="3"/>
  <c r="X32" i="3"/>
  <c r="V33" i="3"/>
  <c r="W33" i="3"/>
  <c r="X33" i="3"/>
  <c r="V34" i="3"/>
  <c r="W34" i="3"/>
  <c r="X34" i="3"/>
  <c r="V35" i="3"/>
  <c r="W35" i="3"/>
  <c r="X35" i="3"/>
  <c r="V36" i="3"/>
  <c r="W36" i="3"/>
  <c r="X36" i="3"/>
  <c r="U36" i="3"/>
  <c r="U28" i="3"/>
  <c r="U29" i="3"/>
  <c r="U30" i="3"/>
  <c r="U31" i="3"/>
  <c r="U27" i="3"/>
  <c r="U32" i="3"/>
  <c r="U33" i="3"/>
  <c r="U34" i="3"/>
  <c r="V28" i="3"/>
  <c r="W28" i="3"/>
  <c r="X28" i="3"/>
  <c r="U35" i="3"/>
  <c r="Q29" i="3"/>
  <c r="Q30" i="3"/>
  <c r="Q31" i="3"/>
  <c r="Q27" i="3"/>
  <c r="Q32" i="3"/>
  <c r="Q33" i="3"/>
  <c r="Q34" i="3"/>
  <c r="Q35" i="3"/>
  <c r="Q36" i="3"/>
  <c r="Q28" i="3"/>
  <c r="R29" i="3"/>
  <c r="S29" i="3"/>
  <c r="R30" i="3"/>
  <c r="S30" i="3"/>
  <c r="R31" i="3"/>
  <c r="S31" i="3"/>
  <c r="R27" i="3"/>
  <c r="S27" i="3"/>
  <c r="R32" i="3"/>
  <c r="S32" i="3"/>
  <c r="R33" i="3"/>
  <c r="S33" i="3"/>
  <c r="R34" i="3"/>
  <c r="S34" i="3"/>
  <c r="R35" i="3"/>
  <c r="S35" i="3"/>
  <c r="R36" i="3"/>
  <c r="S36" i="3"/>
  <c r="R28" i="3"/>
  <c r="S28" i="3"/>
  <c r="T29" i="3"/>
  <c r="T30" i="3"/>
  <c r="T31" i="3"/>
  <c r="T27" i="3"/>
  <c r="T32" i="3"/>
  <c r="T33" i="3"/>
  <c r="T34" i="3"/>
  <c r="T35" i="3"/>
  <c r="T36" i="3"/>
  <c r="T28" i="3"/>
  <c r="P20" i="5"/>
  <c r="T95" i="5"/>
  <c r="AF21" i="5"/>
  <c r="P21" i="5"/>
  <c r="P133" i="5"/>
  <c r="P132" i="5"/>
  <c r="P131" i="5"/>
  <c r="P138" i="5"/>
  <c r="P137" i="5"/>
  <c r="AE11" i="6"/>
  <c r="AD11" i="6"/>
  <c r="AC11" i="6"/>
  <c r="AF11" i="6" s="1"/>
  <c r="AB11" i="6"/>
  <c r="AE15" i="6"/>
  <c r="AD15" i="6"/>
  <c r="AC15" i="6"/>
  <c r="AF15" i="6" s="1"/>
  <c r="AB15" i="6"/>
  <c r="AE13" i="6"/>
  <c r="AD13" i="6"/>
  <c r="AF13" i="6"/>
  <c r="AC13" i="6"/>
  <c r="AB13" i="6"/>
  <c r="AE14" i="6"/>
  <c r="AD14" i="6"/>
  <c r="AF14" i="6" s="1"/>
  <c r="AC14" i="6"/>
  <c r="AB14" i="6"/>
  <c r="AE8" i="6"/>
  <c r="AD8" i="6"/>
  <c r="AC8" i="6"/>
  <c r="AB8" i="6"/>
  <c r="AE10" i="6"/>
  <c r="AD10" i="6"/>
  <c r="AC10" i="6"/>
  <c r="AB10" i="6"/>
  <c r="AE4" i="6"/>
  <c r="AD4" i="6"/>
  <c r="AF4" i="6" s="1"/>
  <c r="AC4" i="6"/>
  <c r="T20" i="6"/>
  <c r="AE20" i="6"/>
  <c r="AD20" i="6"/>
  <c r="AC20" i="6"/>
  <c r="AB20" i="6"/>
  <c r="AA20" i="6"/>
  <c r="Z20" i="6"/>
  <c r="Y20" i="6"/>
  <c r="X20" i="6"/>
  <c r="P170" i="5"/>
  <c r="T171" i="5"/>
  <c r="T170" i="5"/>
  <c r="T169" i="5"/>
  <c r="AE169" i="5"/>
  <c r="AD169" i="5"/>
  <c r="AC169" i="5"/>
  <c r="AB169" i="5"/>
  <c r="AE168" i="5"/>
  <c r="AD168" i="5"/>
  <c r="AC168" i="5"/>
  <c r="AB168" i="5"/>
  <c r="AE154" i="5"/>
  <c r="AD154" i="5"/>
  <c r="AC154" i="5"/>
  <c r="AB154" i="5"/>
  <c r="AE153" i="5"/>
  <c r="AD153" i="5"/>
  <c r="AC153" i="5"/>
  <c r="AB153" i="5"/>
  <c r="AE151" i="5"/>
  <c r="AD151" i="5"/>
  <c r="AC151" i="5"/>
  <c r="AB151" i="5"/>
  <c r="AE150" i="5"/>
  <c r="AD150" i="5"/>
  <c r="AC150" i="5"/>
  <c r="AB150" i="5"/>
  <c r="AE152" i="5"/>
  <c r="AD152" i="5"/>
  <c r="AC152" i="5"/>
  <c r="AB152" i="5"/>
  <c r="AE149" i="5"/>
  <c r="AD149" i="5"/>
  <c r="AC149" i="5"/>
  <c r="AB149" i="5"/>
  <c r="X154" i="5"/>
  <c r="X153" i="5"/>
  <c r="X151" i="5"/>
  <c r="X150" i="5"/>
  <c r="X152" i="5"/>
  <c r="X149" i="5"/>
  <c r="P141" i="5"/>
  <c r="AE137" i="5"/>
  <c r="AD137" i="5"/>
  <c r="AC137" i="5"/>
  <c r="AB137" i="5"/>
  <c r="X137" i="5"/>
  <c r="T136" i="5"/>
  <c r="X96" i="5"/>
  <c r="P39" i="5"/>
  <c r="P44" i="5"/>
  <c r="P43" i="5"/>
  <c r="P42" i="5"/>
  <c r="P41" i="5"/>
  <c r="P40" i="5"/>
  <c r="P38" i="5"/>
  <c r="P32" i="5"/>
  <c r="T38" i="4"/>
  <c r="T37" i="4"/>
  <c r="P26" i="8"/>
  <c r="P18" i="8"/>
  <c r="P17" i="8"/>
  <c r="P15" i="8"/>
  <c r="P129" i="5"/>
  <c r="P128" i="5"/>
  <c r="P153" i="5"/>
  <c r="P152" i="5"/>
  <c r="P154" i="5"/>
  <c r="P127" i="5"/>
  <c r="P151" i="5"/>
  <c r="P150" i="5"/>
  <c r="P149" i="5"/>
  <c r="P23" i="8"/>
  <c r="P22" i="8"/>
  <c r="P27" i="8"/>
  <c r="P42" i="8"/>
  <c r="P9" i="8"/>
  <c r="P8" i="8"/>
  <c r="P11" i="8"/>
  <c r="P19" i="6"/>
  <c r="P17" i="6"/>
  <c r="P4" i="6"/>
  <c r="P5" i="6"/>
  <c r="P6" i="6"/>
  <c r="P7" i="6"/>
  <c r="P15" i="6"/>
  <c r="P14" i="6"/>
  <c r="P13" i="6"/>
  <c r="T12" i="6"/>
  <c r="P12" i="6"/>
  <c r="P8" i="6"/>
  <c r="P10" i="6"/>
  <c r="P9" i="6"/>
  <c r="P11" i="6"/>
  <c r="P3" i="6"/>
  <c r="P22" i="6"/>
  <c r="P16" i="6"/>
  <c r="P20" i="6"/>
  <c r="P18" i="6"/>
  <c r="AF5" i="6"/>
  <c r="AF6" i="6"/>
  <c r="AF7" i="6"/>
  <c r="AF21" i="6"/>
  <c r="P21" i="6"/>
  <c r="P40" i="8"/>
  <c r="P39" i="8"/>
  <c r="P38" i="8"/>
  <c r="P35" i="8"/>
  <c r="P34" i="8"/>
  <c r="P33" i="8"/>
  <c r="P20" i="8"/>
  <c r="T5" i="8"/>
  <c r="T10" i="6"/>
  <c r="T11" i="6"/>
  <c r="T3" i="6"/>
  <c r="T18" i="6"/>
  <c r="T15" i="6"/>
  <c r="T13" i="6"/>
  <c r="T22" i="6"/>
  <c r="T16" i="6"/>
  <c r="T5" i="6"/>
  <c r="T145" i="4"/>
  <c r="T91" i="4"/>
  <c r="T77" i="4"/>
  <c r="P18" i="4"/>
  <c r="T167" i="4"/>
  <c r="P65" i="5"/>
  <c r="P61" i="5"/>
  <c r="P62" i="5"/>
  <c r="P64" i="5"/>
  <c r="P63" i="5"/>
  <c r="P30" i="5"/>
  <c r="P99" i="5"/>
  <c r="P97" i="5"/>
  <c r="P94" i="5"/>
  <c r="P93" i="5"/>
  <c r="P92" i="5"/>
  <c r="P142" i="5"/>
  <c r="P140" i="5"/>
  <c r="P139" i="5"/>
  <c r="P136" i="5"/>
  <c r="P135" i="5"/>
  <c r="P134" i="5"/>
  <c r="P130" i="5"/>
  <c r="P145" i="5"/>
  <c r="P146" i="5"/>
  <c r="P144" i="5"/>
  <c r="P143" i="5"/>
  <c r="P77" i="5"/>
  <c r="P75" i="5"/>
  <c r="P74" i="5"/>
  <c r="P73" i="5"/>
  <c r="P72" i="5"/>
  <c r="P71" i="5"/>
  <c r="P53" i="5"/>
  <c r="P51" i="5"/>
  <c r="P50" i="5"/>
  <c r="P49" i="5"/>
  <c r="P48" i="5"/>
  <c r="P46" i="5"/>
  <c r="P29" i="5"/>
  <c r="P28" i="5"/>
  <c r="P27" i="5"/>
  <c r="P26" i="5"/>
  <c r="P25" i="5"/>
  <c r="P24" i="5"/>
  <c r="P23" i="5"/>
  <c r="P22" i="5"/>
  <c r="P16" i="5"/>
  <c r="P15" i="5"/>
  <c r="P14" i="5"/>
  <c r="P13" i="5"/>
  <c r="P12" i="5"/>
  <c r="P11" i="5"/>
  <c r="P10" i="5"/>
  <c r="P8" i="5"/>
  <c r="P7" i="5"/>
  <c r="P6" i="5"/>
  <c r="P5" i="5"/>
  <c r="Q250" i="3"/>
  <c r="Q249" i="3"/>
  <c r="Q248" i="3"/>
  <c r="Q247" i="3"/>
  <c r="Q246" i="3"/>
  <c r="Q242" i="3"/>
  <c r="Q245" i="3"/>
  <c r="Q244" i="3"/>
  <c r="Q241" i="3"/>
  <c r="Q243" i="3"/>
  <c r="Q212" i="3"/>
  <c r="Q213" i="3"/>
  <c r="Q214" i="3"/>
  <c r="Q211" i="3"/>
  <c r="Q206" i="3"/>
  <c r="Q207" i="3"/>
  <c r="Q208" i="3"/>
  <c r="Q205" i="3"/>
  <c r="Q128" i="3"/>
  <c r="Q127" i="3"/>
  <c r="Q126" i="3"/>
  <c r="Q125" i="3"/>
  <c r="Q107" i="3"/>
  <c r="Q104" i="3"/>
  <c r="Q103" i="3"/>
  <c r="Q102" i="3"/>
  <c r="Q101" i="3"/>
  <c r="Q100" i="3"/>
  <c r="Q99" i="3"/>
  <c r="Q98" i="3"/>
  <c r="Q97" i="3"/>
  <c r="Q96" i="3"/>
  <c r="Q95" i="3"/>
  <c r="Q94" i="3"/>
  <c r="Q93" i="3"/>
  <c r="Q92" i="3"/>
  <c r="Q91" i="3"/>
  <c r="Q90" i="3"/>
  <c r="Q89" i="3"/>
  <c r="Q88" i="3"/>
  <c r="Q87" i="3"/>
  <c r="Q86" i="3"/>
  <c r="Q85" i="3"/>
  <c r="Q58" i="3"/>
  <c r="Q59" i="3"/>
  <c r="Q60" i="3"/>
  <c r="Q57" i="3"/>
  <c r="Q63" i="3"/>
  <c r="Q40" i="3"/>
  <c r="Q39" i="3"/>
  <c r="Q38" i="3"/>
  <c r="AF223" i="4"/>
  <c r="AF222" i="4"/>
  <c r="AF219" i="4"/>
  <c r="AF218" i="4"/>
  <c r="Q169" i="3"/>
  <c r="Q174" i="3"/>
  <c r="Q173" i="3"/>
  <c r="Q172" i="3"/>
  <c r="Q171" i="3"/>
  <c r="Q170" i="3"/>
  <c r="Q167" i="3"/>
  <c r="U167" i="3"/>
  <c r="U177" i="3"/>
  <c r="U169" i="3"/>
  <c r="Y169" i="3"/>
  <c r="Y174" i="3"/>
  <c r="U174" i="3"/>
  <c r="Y173" i="3"/>
  <c r="U173" i="3"/>
  <c r="Y172" i="3"/>
  <c r="U172" i="3"/>
  <c r="Y171" i="3"/>
  <c r="U171" i="3"/>
  <c r="Y170" i="3"/>
  <c r="U170" i="3"/>
  <c r="Y167" i="3"/>
  <c r="AC267" i="3"/>
  <c r="U267" i="3"/>
  <c r="Q260" i="3"/>
  <c r="Q164" i="3"/>
  <c r="Q163" i="3"/>
  <c r="Q162" i="3"/>
  <c r="Q161" i="3"/>
  <c r="Q160" i="3"/>
  <c r="Q159" i="3"/>
  <c r="Q158" i="3"/>
  <c r="Q157" i="3"/>
  <c r="Q113" i="3"/>
  <c r="Q116" i="3"/>
  <c r="Q84" i="3"/>
  <c r="U261" i="3"/>
  <c r="U258" i="3"/>
  <c r="U208" i="3"/>
  <c r="U207" i="3"/>
  <c r="U206" i="3"/>
  <c r="U205" i="3"/>
  <c r="AC214" i="3"/>
  <c r="U214" i="3"/>
  <c r="AC213" i="3"/>
  <c r="U213" i="3"/>
  <c r="AC212" i="3"/>
  <c r="U212" i="3"/>
  <c r="AC211" i="3"/>
  <c r="U211" i="3"/>
  <c r="AC164" i="3"/>
  <c r="U164" i="3"/>
  <c r="AC163" i="3"/>
  <c r="U163" i="3"/>
  <c r="AC162" i="3"/>
  <c r="U162" i="3"/>
  <c r="AC161" i="3"/>
  <c r="U161" i="3"/>
  <c r="AC160" i="3"/>
  <c r="U160" i="3"/>
  <c r="AC159" i="3"/>
  <c r="U159" i="3"/>
  <c r="AC158" i="3"/>
  <c r="U158" i="3"/>
  <c r="AC157" i="3"/>
  <c r="U157" i="3"/>
  <c r="U128" i="3"/>
  <c r="U127" i="3"/>
  <c r="U126" i="3"/>
  <c r="U125" i="3"/>
  <c r="AC151" i="3"/>
  <c r="U151" i="3"/>
  <c r="U113" i="3"/>
  <c r="U116" i="3"/>
  <c r="AC136" i="3"/>
  <c r="Y136" i="3"/>
  <c r="U136" i="3"/>
  <c r="AC135" i="3"/>
  <c r="Y135" i="3"/>
  <c r="U135" i="3"/>
  <c r="AC134" i="3"/>
  <c r="Y134" i="3"/>
  <c r="U134" i="3"/>
  <c r="AC130" i="3"/>
  <c r="Y130" i="3"/>
  <c r="U130" i="3"/>
  <c r="AC133" i="3"/>
  <c r="Y133" i="3"/>
  <c r="U133" i="3"/>
  <c r="AC132" i="3"/>
  <c r="Y132" i="3"/>
  <c r="U132" i="3"/>
  <c r="AC131" i="3"/>
  <c r="Y131" i="3"/>
  <c r="U131" i="3"/>
  <c r="Y249" i="3"/>
  <c r="U249" i="3"/>
  <c r="Y248" i="3"/>
  <c r="U248" i="3"/>
  <c r="Y247" i="3"/>
  <c r="U247" i="3"/>
  <c r="Y246" i="3"/>
  <c r="U246" i="3"/>
  <c r="Y242" i="3"/>
  <c r="U242" i="3"/>
  <c r="Y245" i="3"/>
  <c r="U245" i="3"/>
  <c r="Y244" i="3"/>
  <c r="U244" i="3"/>
  <c r="Y241" i="3"/>
  <c r="U241" i="3"/>
  <c r="Y243" i="3"/>
  <c r="U243" i="3"/>
  <c r="Y238" i="3"/>
  <c r="U238" i="3"/>
  <c r="Y237" i="3"/>
  <c r="U237" i="3"/>
  <c r="Y236" i="3"/>
  <c r="U236" i="3"/>
  <c r="Y235" i="3"/>
  <c r="U235" i="3"/>
  <c r="Y234" i="3"/>
  <c r="U234" i="3"/>
  <c r="Y233" i="3"/>
  <c r="U233" i="3"/>
  <c r="Y231" i="3"/>
  <c r="U231" i="3"/>
  <c r="Y230" i="3"/>
  <c r="U230" i="3"/>
  <c r="Y229" i="3"/>
  <c r="U229" i="3"/>
  <c r="Y228" i="3"/>
  <c r="U228" i="3"/>
  <c r="Y227" i="3"/>
  <c r="U227" i="3"/>
  <c r="AB75" i="5"/>
  <c r="AE72" i="5"/>
  <c r="AD72" i="5"/>
  <c r="AC72" i="5"/>
  <c r="AB72" i="5"/>
  <c r="AE55" i="5"/>
  <c r="AD55" i="5"/>
  <c r="AC55" i="5"/>
  <c r="AB56" i="5"/>
  <c r="AB55" i="5"/>
  <c r="AE146" i="5"/>
  <c r="AE145" i="5"/>
  <c r="AE144" i="5"/>
  <c r="AE143" i="5"/>
  <c r="AD145" i="5"/>
  <c r="AD146" i="5"/>
  <c r="AD144" i="5"/>
  <c r="AD143" i="5"/>
  <c r="AC145" i="5"/>
  <c r="AC146" i="5"/>
  <c r="AC144" i="5"/>
  <c r="AC143" i="5"/>
  <c r="AB145" i="5"/>
  <c r="AB146" i="5"/>
  <c r="AB144" i="5"/>
  <c r="AA144" i="5"/>
  <c r="AA146" i="5"/>
  <c r="AA145" i="5"/>
  <c r="Z145" i="5"/>
  <c r="Z146" i="5"/>
  <c r="Z144" i="5"/>
  <c r="Y145" i="5"/>
  <c r="Y146" i="5"/>
  <c r="Y144" i="5"/>
  <c r="X144" i="5"/>
  <c r="X146" i="5"/>
  <c r="X145" i="5"/>
  <c r="AB141" i="5"/>
  <c r="AE141" i="5"/>
  <c r="AD141" i="5"/>
  <c r="AC141" i="5"/>
  <c r="AE140" i="5"/>
  <c r="AD140" i="5"/>
  <c r="AC140" i="5"/>
  <c r="AB140" i="5"/>
  <c r="AF75" i="5"/>
  <c r="AF94" i="5"/>
  <c r="AF57" i="5"/>
  <c r="AF56" i="5"/>
  <c r="AF167" i="4"/>
  <c r="AF139" i="5"/>
  <c r="AF16" i="5"/>
  <c r="AF112" i="4"/>
  <c r="AF90" i="4"/>
  <c r="AF42" i="4"/>
  <c r="AF40" i="4"/>
  <c r="AF35" i="4"/>
  <c r="AF23" i="4"/>
  <c r="AF27" i="4"/>
  <c r="AF25" i="4"/>
  <c r="AG75" i="3"/>
  <c r="AF18" i="4"/>
  <c r="AF201" i="4"/>
  <c r="AF85" i="4"/>
  <c r="AF71" i="4"/>
  <c r="AF26" i="8"/>
  <c r="AF22" i="8"/>
  <c r="AF27" i="8"/>
  <c r="AF24" i="8"/>
  <c r="AF25" i="8"/>
  <c r="AF37" i="8"/>
  <c r="AF36" i="8"/>
  <c r="AF18" i="8"/>
  <c r="AF17" i="8"/>
  <c r="AF15" i="8"/>
  <c r="AF42" i="8"/>
  <c r="AF20" i="8"/>
  <c r="AF5" i="8"/>
  <c r="AF4" i="8"/>
  <c r="AF19" i="8"/>
  <c r="AF177" i="4"/>
  <c r="AF179" i="4"/>
  <c r="AF180" i="4"/>
  <c r="AF178" i="4"/>
  <c r="AF176" i="4"/>
  <c r="AF170" i="4"/>
  <c r="AF174" i="4"/>
  <c r="AF175" i="4"/>
  <c r="AF172" i="4"/>
  <c r="AF173" i="4"/>
  <c r="AF111" i="4"/>
  <c r="AF126" i="4"/>
  <c r="AF123" i="4"/>
  <c r="AF120" i="4"/>
  <c r="AF117" i="4"/>
  <c r="AF113" i="4"/>
  <c r="AF116" i="4"/>
  <c r="AF115" i="4"/>
  <c r="AF114" i="4"/>
  <c r="AF109" i="4"/>
  <c r="AF103" i="4"/>
  <c r="AF102" i="4"/>
  <c r="AF101" i="4"/>
  <c r="AF98" i="4"/>
  <c r="AF94" i="4"/>
  <c r="AF96" i="4"/>
  <c r="AF95" i="4"/>
  <c r="AF99" i="4"/>
  <c r="AF105" i="4"/>
  <c r="AF147" i="4"/>
  <c r="AF146" i="4"/>
  <c r="AF234" i="4"/>
  <c r="AF230" i="4"/>
  <c r="AF149" i="4"/>
  <c r="AF145" i="4"/>
  <c r="AF143" i="4"/>
  <c r="AF142" i="4"/>
  <c r="AF141" i="4"/>
  <c r="AF168" i="4"/>
  <c r="AF166" i="4"/>
  <c r="AF221" i="4"/>
  <c r="AF227" i="4"/>
  <c r="AF228" i="4"/>
  <c r="AF226" i="4"/>
  <c r="AF225" i="4"/>
  <c r="AF202" i="4"/>
  <c r="AF199" i="4"/>
  <c r="AF198" i="4"/>
  <c r="AF220" i="4"/>
  <c r="AF212" i="4"/>
  <c r="AF197" i="4"/>
  <c r="AF204" i="4"/>
  <c r="AF207" i="4"/>
  <c r="AF209" i="4"/>
  <c r="AF183" i="4"/>
  <c r="AF193" i="4"/>
  <c r="AF189" i="4"/>
  <c r="AF186" i="4"/>
  <c r="AF184" i="4"/>
  <c r="AF185" i="4"/>
  <c r="AF190" i="4"/>
  <c r="AF188" i="4"/>
  <c r="AF84" i="4"/>
  <c r="AF83" i="4"/>
  <c r="AF91" i="4"/>
  <c r="AF77" i="4"/>
  <c r="AF76" i="4"/>
  <c r="AF75" i="4"/>
  <c r="AF72" i="4"/>
  <c r="AF79" i="4"/>
  <c r="AF70" i="4"/>
  <c r="AF41" i="4"/>
  <c r="AF39" i="4"/>
  <c r="AF31" i="4"/>
  <c r="AF30" i="4"/>
  <c r="AF29" i="4"/>
  <c r="AF28" i="4"/>
  <c r="AF26" i="4"/>
  <c r="AF24" i="4"/>
  <c r="AF22" i="4"/>
  <c r="AF32" i="4"/>
  <c r="AF13" i="4"/>
  <c r="AF17" i="4"/>
  <c r="AF9" i="4"/>
  <c r="AF11" i="4"/>
  <c r="AF7" i="4"/>
  <c r="AF16" i="4"/>
  <c r="AF12" i="6"/>
  <c r="AF19" i="6"/>
  <c r="AF17" i="6"/>
  <c r="AF9" i="6"/>
  <c r="AF3" i="6"/>
  <c r="AF18" i="6"/>
  <c r="AF22" i="6"/>
  <c r="AF16" i="6"/>
  <c r="AF171" i="5"/>
  <c r="AF170" i="5"/>
  <c r="AF142" i="5"/>
  <c r="AF130" i="5"/>
  <c r="AF73" i="5"/>
  <c r="AF71" i="5"/>
  <c r="AF108" i="5"/>
  <c r="AF107" i="5"/>
  <c r="AF104" i="5"/>
  <c r="AF102" i="5"/>
  <c r="AF101" i="5"/>
  <c r="AF100" i="5"/>
  <c r="AF99" i="5"/>
  <c r="AF98" i="5"/>
  <c r="AF97" i="5"/>
  <c r="AF93" i="5"/>
  <c r="AF92" i="5"/>
  <c r="AF90" i="5"/>
  <c r="AF89" i="5"/>
  <c r="AF88" i="5"/>
  <c r="AF62" i="5"/>
  <c r="AF61" i="5"/>
  <c r="AF60" i="5"/>
  <c r="AF59" i="5"/>
  <c r="AF58" i="5"/>
  <c r="AF8" i="5"/>
  <c r="AF7" i="5"/>
  <c r="AF6" i="5"/>
  <c r="AF5" i="5"/>
  <c r="AF15" i="5"/>
  <c r="AF14" i="5"/>
  <c r="AF13" i="5"/>
  <c r="AF12" i="5"/>
  <c r="AF11" i="5"/>
  <c r="AF10" i="5"/>
  <c r="AF36" i="5"/>
  <c r="AF35" i="5"/>
  <c r="AF34" i="5"/>
  <c r="AF29" i="5"/>
  <c r="AF28" i="5"/>
  <c r="AF27" i="5"/>
  <c r="AF26" i="5"/>
  <c r="AF25" i="5"/>
  <c r="AF24" i="5"/>
  <c r="AF23" i="5"/>
  <c r="AF22" i="5"/>
  <c r="AF20" i="5"/>
  <c r="AG218" i="3"/>
  <c r="AG217" i="3"/>
  <c r="AG208" i="3"/>
  <c r="AG207" i="3"/>
  <c r="AG206" i="3"/>
  <c r="AG205" i="3"/>
  <c r="AG214" i="3"/>
  <c r="AG213" i="3"/>
  <c r="AG212" i="3"/>
  <c r="AG211" i="3"/>
  <c r="AG164" i="3"/>
  <c r="AG163" i="3"/>
  <c r="AG162" i="3"/>
  <c r="AG161" i="3"/>
  <c r="AG160" i="3"/>
  <c r="AG159" i="3"/>
  <c r="AG158" i="3"/>
  <c r="AG157" i="3"/>
  <c r="AG177" i="3"/>
  <c r="AG169" i="3"/>
  <c r="AG174" i="3"/>
  <c r="AG173" i="3"/>
  <c r="AG172" i="3"/>
  <c r="AG171" i="3"/>
  <c r="AG170" i="3"/>
  <c r="AG167" i="3"/>
  <c r="AG47" i="3"/>
  <c r="AG128" i="3"/>
  <c r="AG127" i="3"/>
  <c r="AG126" i="3"/>
  <c r="AG125" i="3"/>
  <c r="AG151" i="3"/>
  <c r="AG150" i="3"/>
  <c r="AG148" i="3"/>
  <c r="AG147" i="3"/>
  <c r="AG113" i="3"/>
  <c r="AG145" i="3"/>
  <c r="AG144" i="3"/>
  <c r="AG143" i="3"/>
  <c r="AG142" i="3"/>
  <c r="AG139" i="3"/>
  <c r="AG138" i="3"/>
  <c r="AG137" i="3"/>
  <c r="AG140" i="3"/>
  <c r="AG136" i="3"/>
  <c r="AG135" i="3"/>
  <c r="AG134" i="3"/>
  <c r="AG130" i="3"/>
  <c r="AG133" i="3"/>
  <c r="AG132" i="3"/>
  <c r="AG131" i="3"/>
  <c r="AG104" i="3"/>
  <c r="AG80" i="3"/>
  <c r="AG79" i="3"/>
  <c r="AG78" i="3"/>
  <c r="AG77" i="3"/>
  <c r="AG76" i="3"/>
  <c r="AG67" i="3"/>
  <c r="AG189" i="3"/>
  <c r="AG187" i="3"/>
  <c r="AG186" i="3"/>
  <c r="AG185" i="3"/>
  <c r="AG184" i="3"/>
  <c r="AG183" i="3"/>
  <c r="AG182" i="3"/>
  <c r="AG181" i="3"/>
  <c r="AG180" i="3"/>
  <c r="AG199" i="3"/>
  <c r="AG198" i="3"/>
  <c r="AG197" i="3"/>
  <c r="AG196" i="3"/>
  <c r="AG195" i="3"/>
  <c r="AG194" i="3"/>
  <c r="AG193" i="3"/>
  <c r="AG192" i="3"/>
  <c r="AG250" i="3"/>
  <c r="AG249" i="3"/>
  <c r="AG248" i="3"/>
  <c r="AG247" i="3"/>
  <c r="AG246" i="3"/>
  <c r="AG242" i="3"/>
  <c r="AG245" i="3"/>
  <c r="AG244" i="3"/>
  <c r="AG241" i="3"/>
  <c r="AG243" i="3"/>
  <c r="AG238" i="3"/>
  <c r="AG237" i="3"/>
  <c r="AG236" i="3"/>
  <c r="AG235" i="3"/>
  <c r="AG234" i="3"/>
  <c r="AG233" i="3"/>
  <c r="AG231" i="3"/>
  <c r="AG230" i="3"/>
  <c r="AG229" i="3"/>
  <c r="AG228" i="3"/>
  <c r="AG227" i="3"/>
  <c r="AG14" i="3"/>
  <c r="AG13" i="3"/>
  <c r="AG16" i="3"/>
  <c r="AG12" i="3"/>
  <c r="AG44" i="3"/>
  <c r="AG42" i="3"/>
  <c r="AF7" i="7" l="1"/>
  <c r="AF11" i="7"/>
  <c r="AF16" i="7"/>
  <c r="AF6" i="7"/>
  <c r="AF20" i="6"/>
  <c r="AF10" i="6"/>
  <c r="AF8" i="6"/>
  <c r="AF10" i="8"/>
  <c r="AG72" i="3"/>
  <c r="AG70" i="3"/>
  <c r="AF6" i="8"/>
  <c r="AG40" i="3"/>
  <c r="AG68" i="3"/>
  <c r="AG92" i="3"/>
  <c r="AG88" i="3"/>
  <c r="AG85" i="3"/>
  <c r="AG54" i="3"/>
  <c r="AG17" i="3"/>
  <c r="AG52" i="3"/>
  <c r="AG253" i="3"/>
  <c r="AG28" i="3"/>
  <c r="AG35" i="3"/>
  <c r="AG33" i="3"/>
  <c r="AG84" i="3"/>
  <c r="AG121" i="3"/>
  <c r="AG103" i="3"/>
  <c r="AG101" i="3"/>
  <c r="AG99" i="3"/>
  <c r="AG97" i="3"/>
  <c r="AG89" i="3"/>
  <c r="AG87" i="3"/>
  <c r="AG31" i="3"/>
  <c r="AG254" i="3"/>
  <c r="AG36" i="3"/>
  <c r="AG60" i="3"/>
  <c r="AG39" i="3"/>
  <c r="AG110" i="3"/>
  <c r="AG106" i="3"/>
  <c r="AG102" i="3"/>
  <c r="AG90" i="3"/>
  <c r="AG111" i="3"/>
  <c r="AG63" i="3"/>
  <c r="AG73" i="3"/>
  <c r="AG71" i="3"/>
  <c r="AG69" i="3"/>
  <c r="AG115" i="3"/>
  <c r="AG109" i="3"/>
  <c r="AG5" i="3"/>
  <c r="AG11" i="3"/>
  <c r="AG9" i="3"/>
  <c r="AG22" i="3"/>
  <c r="AG20" i="3"/>
  <c r="AG100" i="3"/>
  <c r="AG98" i="3"/>
  <c r="AG96" i="3"/>
  <c r="AG94" i="3"/>
  <c r="AG116" i="3"/>
  <c r="AG34" i="3"/>
  <c r="AG32" i="3"/>
  <c r="AG48" i="3"/>
  <c r="AG57" i="3"/>
  <c r="AG58" i="3"/>
  <c r="AG108" i="3"/>
  <c r="AG86" i="3"/>
  <c r="AG119" i="3"/>
  <c r="AG123" i="3"/>
  <c r="AG117" i="3"/>
  <c r="AG7" i="3"/>
  <c r="AG29" i="3"/>
  <c r="AG10" i="3"/>
  <c r="AG21" i="3"/>
  <c r="AG8" i="3"/>
  <c r="AG6" i="3"/>
  <c r="AG107" i="3"/>
  <c r="AG105" i="3"/>
  <c r="AG95" i="3"/>
  <c r="AG93" i="3"/>
  <c r="AG91" i="3"/>
  <c r="AG74" i="3"/>
  <c r="AG18" i="3"/>
  <c r="AG4" i="3"/>
  <c r="AG23" i="3"/>
  <c r="AG19" i="3"/>
  <c r="AG27" i="3"/>
  <c r="AG30" i="3"/>
  <c r="AG38" i="3"/>
  <c r="AG51" i="3"/>
  <c r="AG53" i="3"/>
  <c r="AG59" i="3"/>
  <c r="AG122" i="3"/>
  <c r="AG120" i="3"/>
  <c r="AG255" i="3"/>
  <c r="AF106" i="5"/>
  <c r="AF140" i="5"/>
  <c r="AF72" i="5"/>
  <c r="AF143" i="5"/>
  <c r="AF146" i="5"/>
  <c r="AF137" i="5"/>
  <c r="AF149" i="5"/>
  <c r="AF150" i="5"/>
  <c r="AF153" i="5"/>
  <c r="AF168" i="5"/>
  <c r="AF55" i="5"/>
  <c r="AF138" i="5"/>
  <c r="AF145" i="5"/>
  <c r="AF105" i="5"/>
  <c r="AF131" i="5"/>
  <c r="AF133" i="5"/>
  <c r="AF141" i="5"/>
  <c r="AF144" i="5"/>
  <c r="AF152" i="5"/>
  <c r="AF151" i="5"/>
  <c r="AF154" i="5"/>
  <c r="AF169" i="5"/>
  <c r="AF132" i="5"/>
</calcChain>
</file>

<file path=xl/comments1.xml><?xml version="1.0" encoding="utf-8"?>
<comments xmlns="http://schemas.openxmlformats.org/spreadsheetml/2006/main">
  <authors>
    <author>Candice Randall</author>
  </authors>
  <commentList>
    <comment ref="O88" authorId="0" shapeId="0">
      <text>
        <r>
          <rPr>
            <b/>
            <sz val="9"/>
            <color indexed="81"/>
            <rFont val="Tahoma"/>
            <family val="2"/>
          </rPr>
          <t>Candice Randall:</t>
        </r>
        <r>
          <rPr>
            <sz val="9"/>
            <color indexed="81"/>
            <rFont val="Tahoma"/>
            <family val="2"/>
          </rPr>
          <t xml:space="preserve">
Changing to 360 in January?</t>
        </r>
      </text>
    </comment>
    <comment ref="O89" authorId="0" shapeId="0">
      <text>
        <r>
          <rPr>
            <b/>
            <sz val="9"/>
            <color indexed="81"/>
            <rFont val="Tahoma"/>
            <family val="2"/>
          </rPr>
          <t>Candice Randall:</t>
        </r>
        <r>
          <rPr>
            <sz val="9"/>
            <color indexed="81"/>
            <rFont val="Tahoma"/>
            <family val="2"/>
          </rPr>
          <t xml:space="preserve">
Changing to 180 in January?</t>
        </r>
      </text>
    </comment>
    <comment ref="O90" authorId="0" shapeId="0">
      <text>
        <r>
          <rPr>
            <b/>
            <sz val="9"/>
            <color indexed="81"/>
            <rFont val="Tahoma"/>
            <family val="2"/>
          </rPr>
          <t>Candice Randall:</t>
        </r>
        <r>
          <rPr>
            <sz val="9"/>
            <color indexed="81"/>
            <rFont val="Tahoma"/>
            <family val="2"/>
          </rPr>
          <t xml:space="preserve">
Changing to 360 in January?</t>
        </r>
      </text>
    </comment>
    <comment ref="O91" authorId="0" shapeId="0">
      <text>
        <r>
          <rPr>
            <b/>
            <sz val="9"/>
            <color indexed="81"/>
            <rFont val="Tahoma"/>
            <family val="2"/>
          </rPr>
          <t>Candice Randall:</t>
        </r>
        <r>
          <rPr>
            <sz val="9"/>
            <color indexed="81"/>
            <rFont val="Tahoma"/>
            <family val="2"/>
          </rPr>
          <t xml:space="preserve">
Changing to 360 in January?</t>
        </r>
      </text>
    </comment>
    <comment ref="I97" authorId="0" shapeId="0">
      <text>
        <r>
          <rPr>
            <b/>
            <sz val="9"/>
            <color indexed="81"/>
            <rFont val="Tahoma"/>
            <family val="2"/>
          </rPr>
          <t>Candice Randall:</t>
        </r>
        <r>
          <rPr>
            <sz val="9"/>
            <color indexed="81"/>
            <rFont val="Tahoma"/>
            <family val="2"/>
          </rPr>
          <t xml:space="preserve">
Inner Carton is marked with wrong part#....says MT-EMPTY-CONT</t>
        </r>
      </text>
    </comment>
    <comment ref="J97" authorId="0" shapeId="0">
      <text>
        <r>
          <rPr>
            <b/>
            <sz val="9"/>
            <color indexed="81"/>
            <rFont val="Tahoma"/>
            <family val="2"/>
          </rPr>
          <t>Candice Randall:</t>
        </r>
        <r>
          <rPr>
            <sz val="9"/>
            <color indexed="81"/>
            <rFont val="Tahoma"/>
            <family val="2"/>
          </rPr>
          <t xml:space="preserve">
Inner Carton is marked with wrong part#....says MT-EMPTY-CONT</t>
        </r>
      </text>
    </comment>
    <comment ref="O97" authorId="0" shapeId="0">
      <text>
        <r>
          <rPr>
            <b/>
            <sz val="9"/>
            <color indexed="81"/>
            <rFont val="Tahoma"/>
            <family val="2"/>
          </rPr>
          <t>Candice Randall:</t>
        </r>
        <r>
          <rPr>
            <sz val="9"/>
            <color indexed="81"/>
            <rFont val="Tahoma"/>
            <family val="2"/>
          </rPr>
          <t xml:space="preserve">
Changing to 360 in January?</t>
        </r>
      </text>
    </comment>
    <comment ref="O99" authorId="0" shapeId="0">
      <text>
        <r>
          <rPr>
            <b/>
            <sz val="9"/>
            <color indexed="81"/>
            <rFont val="Tahoma"/>
            <family val="2"/>
          </rPr>
          <t>Candice Randall:</t>
        </r>
        <r>
          <rPr>
            <sz val="9"/>
            <color indexed="81"/>
            <rFont val="Tahoma"/>
            <family val="2"/>
          </rPr>
          <t xml:space="preserve">
Changing to 360 in January?</t>
        </r>
      </text>
    </comment>
    <comment ref="Q149" authorId="0" shapeId="0">
      <text>
        <r>
          <rPr>
            <b/>
            <sz val="9"/>
            <color indexed="81"/>
            <rFont val="Tahoma"/>
            <family val="2"/>
          </rPr>
          <t>Candice Randall:</t>
        </r>
        <r>
          <rPr>
            <sz val="9"/>
            <color indexed="81"/>
            <rFont val="Tahoma"/>
            <family val="2"/>
          </rPr>
          <t xml:space="preserve">
head circumference</t>
        </r>
      </text>
    </comment>
    <comment ref="R149" authorId="0" shapeId="0">
      <text>
        <r>
          <rPr>
            <b/>
            <sz val="9"/>
            <color indexed="81"/>
            <rFont val="Tahoma"/>
            <family val="2"/>
          </rPr>
          <t>Candice Randall:</t>
        </r>
        <r>
          <rPr>
            <sz val="9"/>
            <color indexed="81"/>
            <rFont val="Tahoma"/>
            <family val="2"/>
          </rPr>
          <t xml:space="preserve">
lamp dimensions</t>
        </r>
      </text>
    </comment>
    <comment ref="Q150" authorId="0" shapeId="0">
      <text>
        <r>
          <rPr>
            <b/>
            <sz val="9"/>
            <color indexed="81"/>
            <rFont val="Tahoma"/>
            <family val="2"/>
          </rPr>
          <t>Candice Randall:</t>
        </r>
        <r>
          <rPr>
            <sz val="9"/>
            <color indexed="81"/>
            <rFont val="Tahoma"/>
            <family val="2"/>
          </rPr>
          <t xml:space="preserve">
head circumference</t>
        </r>
      </text>
    </comment>
    <comment ref="R150" authorId="0" shapeId="0">
      <text>
        <r>
          <rPr>
            <b/>
            <sz val="9"/>
            <color indexed="81"/>
            <rFont val="Tahoma"/>
            <family val="2"/>
          </rPr>
          <t>Candice Randall:</t>
        </r>
        <r>
          <rPr>
            <sz val="9"/>
            <color indexed="81"/>
            <rFont val="Tahoma"/>
            <family val="2"/>
          </rPr>
          <t xml:space="preserve">
lamp dimensions</t>
        </r>
      </text>
    </comment>
    <comment ref="Q151" authorId="0" shapeId="0">
      <text>
        <r>
          <rPr>
            <b/>
            <sz val="9"/>
            <color indexed="81"/>
            <rFont val="Tahoma"/>
            <family val="2"/>
          </rPr>
          <t>Candice Randall:</t>
        </r>
        <r>
          <rPr>
            <sz val="9"/>
            <color indexed="81"/>
            <rFont val="Tahoma"/>
            <family val="2"/>
          </rPr>
          <t xml:space="preserve">
head circumference</t>
        </r>
      </text>
    </comment>
    <comment ref="R151" authorId="0" shapeId="0">
      <text>
        <r>
          <rPr>
            <b/>
            <sz val="9"/>
            <color indexed="81"/>
            <rFont val="Tahoma"/>
            <family val="2"/>
          </rPr>
          <t>Candice Randall:</t>
        </r>
        <r>
          <rPr>
            <sz val="9"/>
            <color indexed="81"/>
            <rFont val="Tahoma"/>
            <family val="2"/>
          </rPr>
          <t xml:space="preserve">
lamp dimensions</t>
        </r>
      </text>
    </comment>
    <comment ref="Q152" authorId="0" shapeId="0">
      <text>
        <r>
          <rPr>
            <b/>
            <sz val="9"/>
            <color indexed="81"/>
            <rFont val="Tahoma"/>
            <family val="2"/>
          </rPr>
          <t>Candice Randall:</t>
        </r>
        <r>
          <rPr>
            <sz val="9"/>
            <color indexed="81"/>
            <rFont val="Tahoma"/>
            <family val="2"/>
          </rPr>
          <t xml:space="preserve">
head circumference</t>
        </r>
      </text>
    </comment>
    <comment ref="R152" authorId="0" shapeId="0">
      <text>
        <r>
          <rPr>
            <b/>
            <sz val="9"/>
            <color indexed="81"/>
            <rFont val="Tahoma"/>
            <family val="2"/>
          </rPr>
          <t>Candice Randall:</t>
        </r>
        <r>
          <rPr>
            <sz val="9"/>
            <color indexed="81"/>
            <rFont val="Tahoma"/>
            <family val="2"/>
          </rPr>
          <t xml:space="preserve">
lamp dimensions</t>
        </r>
      </text>
    </comment>
    <comment ref="Q153" authorId="0" shapeId="0">
      <text>
        <r>
          <rPr>
            <b/>
            <sz val="9"/>
            <color indexed="81"/>
            <rFont val="Tahoma"/>
            <family val="2"/>
          </rPr>
          <t>Candice Randall:</t>
        </r>
        <r>
          <rPr>
            <sz val="9"/>
            <color indexed="81"/>
            <rFont val="Tahoma"/>
            <family val="2"/>
          </rPr>
          <t xml:space="preserve">
head circumference</t>
        </r>
      </text>
    </comment>
    <comment ref="R153" authorId="0" shapeId="0">
      <text>
        <r>
          <rPr>
            <b/>
            <sz val="9"/>
            <color indexed="81"/>
            <rFont val="Tahoma"/>
            <family val="2"/>
          </rPr>
          <t>Candice Randall:</t>
        </r>
        <r>
          <rPr>
            <sz val="9"/>
            <color indexed="81"/>
            <rFont val="Tahoma"/>
            <family val="2"/>
          </rPr>
          <t xml:space="preserve">
lamp dimensions</t>
        </r>
      </text>
    </comment>
    <comment ref="Q154" authorId="0" shapeId="0">
      <text>
        <r>
          <rPr>
            <b/>
            <sz val="9"/>
            <color indexed="81"/>
            <rFont val="Tahoma"/>
            <family val="2"/>
          </rPr>
          <t>Candice Randall:</t>
        </r>
        <r>
          <rPr>
            <sz val="9"/>
            <color indexed="81"/>
            <rFont val="Tahoma"/>
            <family val="2"/>
          </rPr>
          <t xml:space="preserve">
head circumference</t>
        </r>
      </text>
    </comment>
    <comment ref="R154" authorId="0" shapeId="0">
      <text>
        <r>
          <rPr>
            <b/>
            <sz val="9"/>
            <color indexed="81"/>
            <rFont val="Tahoma"/>
            <family val="2"/>
          </rPr>
          <t>Candice Randall:</t>
        </r>
        <r>
          <rPr>
            <sz val="9"/>
            <color indexed="81"/>
            <rFont val="Tahoma"/>
            <family val="2"/>
          </rPr>
          <t xml:space="preserve">
lamp dimensions</t>
        </r>
      </text>
    </comment>
  </commentList>
</comments>
</file>

<file path=xl/comments2.xml><?xml version="1.0" encoding="utf-8"?>
<comments xmlns="http://schemas.openxmlformats.org/spreadsheetml/2006/main">
  <authors>
    <author>Candice Randall</author>
  </authors>
  <commentList>
    <comment ref="H12" authorId="0" shapeId="0">
      <text>
        <r>
          <rPr>
            <b/>
            <sz val="9"/>
            <color indexed="81"/>
            <rFont val="Tahoma"/>
            <family val="2"/>
          </rPr>
          <t>Candice Randall:</t>
        </r>
        <r>
          <rPr>
            <sz val="9"/>
            <color indexed="81"/>
            <rFont val="Tahoma"/>
            <family val="2"/>
          </rPr>
          <t xml:space="preserve">
Awaiting # information from LMF - conflicting #s from NAV and warehouse inventory (shown)</t>
        </r>
      </text>
    </comment>
    <comment ref="H13" authorId="0" shapeId="0">
      <text>
        <r>
          <rPr>
            <b/>
            <sz val="9"/>
            <color indexed="81"/>
            <rFont val="Tahoma"/>
            <family val="2"/>
          </rPr>
          <t>Candice Randall:</t>
        </r>
        <r>
          <rPr>
            <sz val="9"/>
            <color indexed="81"/>
            <rFont val="Tahoma"/>
            <family val="2"/>
          </rPr>
          <t xml:space="preserve">
Awaiting # information from LMF - conflicting #s from NAV and warehouse inventory (shown)</t>
        </r>
      </text>
    </comment>
    <comment ref="H14" authorId="0" shapeId="0">
      <text>
        <r>
          <rPr>
            <b/>
            <sz val="9"/>
            <color indexed="81"/>
            <rFont val="Tahoma"/>
            <family val="2"/>
          </rPr>
          <t>Candice Randall:</t>
        </r>
        <r>
          <rPr>
            <sz val="9"/>
            <color indexed="81"/>
            <rFont val="Tahoma"/>
            <family val="2"/>
          </rPr>
          <t xml:space="preserve">
Awaiting # information from LMF - conflicting #s from NAV and warehouse inventory (shown)</t>
        </r>
      </text>
    </comment>
    <comment ref="H15" authorId="0" shapeId="0">
      <text>
        <r>
          <rPr>
            <b/>
            <sz val="9"/>
            <color indexed="81"/>
            <rFont val="Tahoma"/>
            <family val="2"/>
          </rPr>
          <t>Candice Randall:</t>
        </r>
        <r>
          <rPr>
            <sz val="9"/>
            <color indexed="81"/>
            <rFont val="Tahoma"/>
            <family val="2"/>
          </rPr>
          <t xml:space="preserve">
Awaiting # information from LMF - conflicting #s from NAV and warehouse inventory (shown)</t>
        </r>
      </text>
    </comment>
    <comment ref="I73" authorId="0" shapeId="0">
      <text>
        <r>
          <rPr>
            <b/>
            <sz val="9"/>
            <color indexed="81"/>
            <rFont val="Tahoma"/>
            <family val="2"/>
          </rPr>
          <t>Candice Randall:</t>
        </r>
        <r>
          <rPr>
            <sz val="9"/>
            <color indexed="81"/>
            <rFont val="Tahoma"/>
            <family val="2"/>
          </rPr>
          <t xml:space="preserve">
LMF #7331423008407
Warehouse #7331423101337</t>
        </r>
      </text>
    </comment>
    <comment ref="J73" authorId="0" shapeId="0">
      <text>
        <r>
          <rPr>
            <b/>
            <sz val="9"/>
            <color indexed="81"/>
            <rFont val="Tahoma"/>
            <family val="2"/>
          </rPr>
          <t>Candice Randall:</t>
        </r>
        <r>
          <rPr>
            <sz val="9"/>
            <color indexed="81"/>
            <rFont val="Tahoma"/>
            <family val="2"/>
          </rPr>
          <t xml:space="preserve">
LMF #7331423202300
Warehouse #7331423201563</t>
        </r>
      </text>
    </comment>
    <comment ref="D88" authorId="0" shapeId="0">
      <text>
        <r>
          <rPr>
            <b/>
            <sz val="9"/>
            <color indexed="81"/>
            <rFont val="Tahoma"/>
            <family val="2"/>
          </rPr>
          <t>Candice Randall:</t>
        </r>
        <r>
          <rPr>
            <sz val="9"/>
            <color indexed="81"/>
            <rFont val="Tahoma"/>
            <family val="2"/>
          </rPr>
          <t xml:space="preserve">
Keep - not in catalog?</t>
        </r>
      </text>
    </comment>
    <comment ref="D95" authorId="0" shapeId="0">
      <text>
        <r>
          <rPr>
            <b/>
            <sz val="9"/>
            <color indexed="81"/>
            <rFont val="Tahoma"/>
            <family val="2"/>
          </rPr>
          <t>Candice Randall:</t>
        </r>
        <r>
          <rPr>
            <sz val="9"/>
            <color indexed="81"/>
            <rFont val="Tahoma"/>
            <family val="2"/>
          </rPr>
          <t xml:space="preserve">
Keep - not in catalog?</t>
        </r>
      </text>
    </comment>
    <comment ref="D108" authorId="0" shapeId="0">
      <text>
        <r>
          <rPr>
            <b/>
            <sz val="9"/>
            <color indexed="81"/>
            <rFont val="Tahoma"/>
            <family val="2"/>
          </rPr>
          <t>Candice Randall:</t>
        </r>
        <r>
          <rPr>
            <sz val="9"/>
            <color indexed="81"/>
            <rFont val="Tahoma"/>
            <family val="2"/>
          </rPr>
          <t xml:space="preserve">
Passion Blue - in catalog but no stickered stock</t>
        </r>
      </text>
    </comment>
    <comment ref="J151" authorId="0" shapeId="0">
      <text>
        <r>
          <rPr>
            <b/>
            <sz val="9"/>
            <color indexed="81"/>
            <rFont val="Tahoma"/>
            <family val="2"/>
          </rPr>
          <t>Candice Randall:</t>
        </r>
        <r>
          <rPr>
            <sz val="9"/>
            <color indexed="81"/>
            <rFont val="Tahoma"/>
            <family val="2"/>
          </rPr>
          <t xml:space="preserve">
LMF #7331423202294 in future shipments?</t>
        </r>
      </text>
    </comment>
    <comment ref="J158" authorId="0" shapeId="0">
      <text>
        <r>
          <rPr>
            <b/>
            <sz val="9"/>
            <color indexed="81"/>
            <rFont val="Tahoma"/>
            <family val="2"/>
          </rPr>
          <t>Candice Randall:</t>
        </r>
        <r>
          <rPr>
            <sz val="9"/>
            <color indexed="81"/>
            <rFont val="Tahoma"/>
            <family val="2"/>
          </rPr>
          <t xml:space="preserve">
LMF #7331423201068 in future shipments?</t>
        </r>
      </text>
    </comment>
    <comment ref="K158" authorId="0" shapeId="0">
      <text>
        <r>
          <rPr>
            <b/>
            <sz val="9"/>
            <color indexed="81"/>
            <rFont val="Tahoma"/>
            <family val="2"/>
          </rPr>
          <t>Candice Randall:</t>
        </r>
        <r>
          <rPr>
            <sz val="9"/>
            <color indexed="81"/>
            <rFont val="Tahoma"/>
            <family val="2"/>
          </rPr>
          <t xml:space="preserve">
LMF #17331423201065 in future shipments?</t>
        </r>
      </text>
    </comment>
    <comment ref="J159" authorId="0" shapeId="0">
      <text>
        <r>
          <rPr>
            <b/>
            <sz val="9"/>
            <color indexed="81"/>
            <rFont val="Tahoma"/>
            <family val="2"/>
          </rPr>
          <t>Candice Randall:</t>
        </r>
        <r>
          <rPr>
            <sz val="9"/>
            <color indexed="81"/>
            <rFont val="Tahoma"/>
            <family val="2"/>
          </rPr>
          <t xml:space="preserve">
LMF #7331423201051 in future shipments?</t>
        </r>
      </text>
    </comment>
    <comment ref="K159" authorId="0" shapeId="0">
      <text>
        <r>
          <rPr>
            <b/>
            <sz val="9"/>
            <color indexed="81"/>
            <rFont val="Tahoma"/>
            <family val="2"/>
          </rPr>
          <t>Candice Randall:</t>
        </r>
        <r>
          <rPr>
            <sz val="9"/>
            <color indexed="81"/>
            <rFont val="Tahoma"/>
            <family val="2"/>
          </rPr>
          <t xml:space="preserve">
LMF # 17331423201058 in future shipments?</t>
        </r>
      </text>
    </comment>
    <comment ref="J160" authorId="0" shapeId="0">
      <text>
        <r>
          <rPr>
            <b/>
            <sz val="9"/>
            <color indexed="81"/>
            <rFont val="Tahoma"/>
            <family val="2"/>
          </rPr>
          <t>Candice Randall:</t>
        </r>
        <r>
          <rPr>
            <sz val="9"/>
            <color indexed="81"/>
            <rFont val="Tahoma"/>
            <family val="2"/>
          </rPr>
          <t xml:space="preserve">
LMF #7331423201044 in future shipments?</t>
        </r>
      </text>
    </comment>
    <comment ref="K160" authorId="0" shapeId="0">
      <text>
        <r>
          <rPr>
            <b/>
            <sz val="9"/>
            <color indexed="81"/>
            <rFont val="Tahoma"/>
            <family val="2"/>
          </rPr>
          <t>Candice Randall:</t>
        </r>
        <r>
          <rPr>
            <sz val="9"/>
            <color indexed="81"/>
            <rFont val="Tahoma"/>
            <family val="2"/>
          </rPr>
          <t xml:space="preserve">
LMF #17331423201041 in future shipments?</t>
        </r>
      </text>
    </comment>
    <comment ref="J161" authorId="0" shapeId="0">
      <text>
        <r>
          <rPr>
            <b/>
            <sz val="9"/>
            <color indexed="81"/>
            <rFont val="Tahoma"/>
            <family val="2"/>
          </rPr>
          <t>Candice Randall:</t>
        </r>
        <r>
          <rPr>
            <sz val="9"/>
            <color indexed="81"/>
            <rFont val="Tahoma"/>
            <family val="2"/>
          </rPr>
          <t xml:space="preserve">
LMF #7331423201037 in future shipments?</t>
        </r>
      </text>
    </comment>
    <comment ref="K161" authorId="0" shapeId="0">
      <text>
        <r>
          <rPr>
            <b/>
            <sz val="9"/>
            <color indexed="81"/>
            <rFont val="Tahoma"/>
            <family val="2"/>
          </rPr>
          <t>Candice Randall:</t>
        </r>
        <r>
          <rPr>
            <sz val="9"/>
            <color indexed="81"/>
            <rFont val="Tahoma"/>
            <family val="2"/>
          </rPr>
          <t xml:space="preserve">
LMF #17331423201034 in future shipments?</t>
        </r>
      </text>
    </comment>
    <comment ref="J162" authorId="0" shapeId="0">
      <text>
        <r>
          <rPr>
            <b/>
            <sz val="9"/>
            <color indexed="81"/>
            <rFont val="Tahoma"/>
            <family val="2"/>
          </rPr>
          <t>Candice Randall:</t>
        </r>
        <r>
          <rPr>
            <sz val="9"/>
            <color indexed="81"/>
            <rFont val="Tahoma"/>
            <family val="2"/>
          </rPr>
          <t xml:space="preserve">
LMF #7331423201020 in future shipments?</t>
        </r>
      </text>
    </comment>
    <comment ref="K162" authorId="0" shapeId="0">
      <text>
        <r>
          <rPr>
            <b/>
            <sz val="9"/>
            <color indexed="81"/>
            <rFont val="Tahoma"/>
            <family val="2"/>
          </rPr>
          <t>Candice Randall:</t>
        </r>
        <r>
          <rPr>
            <sz val="9"/>
            <color indexed="81"/>
            <rFont val="Tahoma"/>
            <family val="2"/>
          </rPr>
          <t xml:space="preserve">
LMF #17331423201027 in future shipments?</t>
        </r>
      </text>
    </comment>
    <comment ref="J163" authorId="0" shapeId="0">
      <text>
        <r>
          <rPr>
            <b/>
            <sz val="9"/>
            <color indexed="81"/>
            <rFont val="Tahoma"/>
            <family val="2"/>
          </rPr>
          <t>Candice Randall:</t>
        </r>
        <r>
          <rPr>
            <sz val="9"/>
            <color indexed="81"/>
            <rFont val="Tahoma"/>
            <family val="2"/>
          </rPr>
          <t xml:space="preserve">
LMF #7331423201013 in future shipments?</t>
        </r>
      </text>
    </comment>
    <comment ref="K163" authorId="0" shapeId="0">
      <text>
        <r>
          <rPr>
            <b/>
            <sz val="9"/>
            <color indexed="81"/>
            <rFont val="Tahoma"/>
            <family val="2"/>
          </rPr>
          <t>Candice Randall:</t>
        </r>
        <r>
          <rPr>
            <sz val="9"/>
            <color indexed="81"/>
            <rFont val="Tahoma"/>
            <family val="2"/>
          </rPr>
          <t xml:space="preserve">
LMF #17331423201010 in future shipments?</t>
        </r>
      </text>
    </comment>
    <comment ref="J164" authorId="0" shapeId="0">
      <text>
        <r>
          <rPr>
            <b/>
            <sz val="9"/>
            <color indexed="81"/>
            <rFont val="Tahoma"/>
            <family val="2"/>
          </rPr>
          <t>Candice Randall:</t>
        </r>
        <r>
          <rPr>
            <sz val="9"/>
            <color indexed="81"/>
            <rFont val="Tahoma"/>
            <family val="2"/>
          </rPr>
          <t xml:space="preserve">
LMF #7331423008216 in future shipments?</t>
        </r>
      </text>
    </comment>
    <comment ref="I170" authorId="0" shapeId="0">
      <text>
        <r>
          <rPr>
            <b/>
            <sz val="9"/>
            <color indexed="81"/>
            <rFont val="Tahoma"/>
            <family val="2"/>
          </rPr>
          <t>Candice Randall:</t>
        </r>
        <r>
          <rPr>
            <sz val="9"/>
            <color indexed="81"/>
            <rFont val="Tahoma"/>
            <family val="2"/>
          </rPr>
          <t xml:space="preserve">
LMF #7331423100927 in future shipments?</t>
        </r>
      </text>
    </comment>
    <comment ref="J170" authorId="0" shapeId="0">
      <text>
        <r>
          <rPr>
            <b/>
            <sz val="9"/>
            <color indexed="81"/>
            <rFont val="Tahoma"/>
            <family val="2"/>
          </rPr>
          <t>Candice Randall:</t>
        </r>
        <r>
          <rPr>
            <sz val="9"/>
            <color indexed="81"/>
            <rFont val="Tahoma"/>
            <family val="2"/>
          </rPr>
          <t xml:space="preserve">
LMF #7331423201150 in future shipments?</t>
        </r>
      </text>
    </comment>
    <comment ref="K170" authorId="0" shapeId="0">
      <text>
        <r>
          <rPr>
            <b/>
            <sz val="9"/>
            <color indexed="81"/>
            <rFont val="Tahoma"/>
            <family val="2"/>
          </rPr>
          <t>Candice Randall:</t>
        </r>
        <r>
          <rPr>
            <sz val="9"/>
            <color indexed="81"/>
            <rFont val="Tahoma"/>
            <family val="2"/>
          </rPr>
          <t xml:space="preserve">
LMF #17331423201157 in future shipments?</t>
        </r>
      </text>
    </comment>
    <comment ref="I171" authorId="0" shapeId="0">
      <text>
        <r>
          <rPr>
            <b/>
            <sz val="9"/>
            <color indexed="81"/>
            <rFont val="Tahoma"/>
            <family val="2"/>
          </rPr>
          <t>Candice Randall:</t>
        </r>
        <r>
          <rPr>
            <sz val="9"/>
            <color indexed="81"/>
            <rFont val="Tahoma"/>
            <family val="2"/>
          </rPr>
          <t xml:space="preserve">
LMF #7331423100910 in future shipments?</t>
        </r>
      </text>
    </comment>
    <comment ref="J171" authorId="0" shapeId="0">
      <text>
        <r>
          <rPr>
            <b/>
            <sz val="9"/>
            <color indexed="81"/>
            <rFont val="Tahoma"/>
            <family val="2"/>
          </rPr>
          <t>Candice Randall:</t>
        </r>
        <r>
          <rPr>
            <sz val="9"/>
            <color indexed="81"/>
            <rFont val="Tahoma"/>
            <family val="2"/>
          </rPr>
          <t xml:space="preserve">
LMF #7331423201143 in future shipments?</t>
        </r>
      </text>
    </comment>
    <comment ref="K171" authorId="0" shapeId="0">
      <text>
        <r>
          <rPr>
            <b/>
            <sz val="9"/>
            <color indexed="81"/>
            <rFont val="Tahoma"/>
            <family val="2"/>
          </rPr>
          <t>Candice Randall:</t>
        </r>
        <r>
          <rPr>
            <sz val="9"/>
            <color indexed="81"/>
            <rFont val="Tahoma"/>
            <family val="2"/>
          </rPr>
          <t xml:space="preserve">
LMF #17331423201140 in future shipments?</t>
        </r>
      </text>
    </comment>
    <comment ref="I172" authorId="0" shapeId="0">
      <text>
        <r>
          <rPr>
            <b/>
            <sz val="9"/>
            <color indexed="81"/>
            <rFont val="Tahoma"/>
            <family val="2"/>
          </rPr>
          <t>Candice Randall:</t>
        </r>
        <r>
          <rPr>
            <sz val="9"/>
            <color indexed="81"/>
            <rFont val="Tahoma"/>
            <family val="2"/>
          </rPr>
          <t xml:space="preserve">
LMF #7331423100903 in future shipments?</t>
        </r>
      </text>
    </comment>
    <comment ref="J172" authorId="0" shapeId="0">
      <text>
        <r>
          <rPr>
            <b/>
            <sz val="9"/>
            <color indexed="81"/>
            <rFont val="Tahoma"/>
            <family val="2"/>
          </rPr>
          <t>Candice Randall:</t>
        </r>
        <r>
          <rPr>
            <sz val="9"/>
            <color indexed="81"/>
            <rFont val="Tahoma"/>
            <family val="2"/>
          </rPr>
          <t xml:space="preserve">
LMF #7331423201136 in future shipments?</t>
        </r>
      </text>
    </comment>
    <comment ref="K172" authorId="0" shapeId="0">
      <text>
        <r>
          <rPr>
            <b/>
            <sz val="9"/>
            <color indexed="81"/>
            <rFont val="Tahoma"/>
            <family val="2"/>
          </rPr>
          <t>Candice Randall:</t>
        </r>
        <r>
          <rPr>
            <sz val="9"/>
            <color indexed="81"/>
            <rFont val="Tahoma"/>
            <family val="2"/>
          </rPr>
          <t xml:space="preserve">
LMF #17331423201133 in future shipments?</t>
        </r>
      </text>
    </comment>
    <comment ref="I173" authorId="0" shapeId="0">
      <text>
        <r>
          <rPr>
            <b/>
            <sz val="9"/>
            <color indexed="81"/>
            <rFont val="Tahoma"/>
            <family val="2"/>
          </rPr>
          <t>Candice Randall:</t>
        </r>
        <r>
          <rPr>
            <sz val="9"/>
            <color indexed="81"/>
            <rFont val="Tahoma"/>
            <family val="2"/>
          </rPr>
          <t xml:space="preserve">
LMF #7331423100897 in future shipments?</t>
        </r>
      </text>
    </comment>
    <comment ref="J173" authorId="0" shapeId="0">
      <text>
        <r>
          <rPr>
            <b/>
            <sz val="9"/>
            <color indexed="81"/>
            <rFont val="Tahoma"/>
            <family val="2"/>
          </rPr>
          <t>Candice Randall:</t>
        </r>
        <r>
          <rPr>
            <sz val="9"/>
            <color indexed="81"/>
            <rFont val="Tahoma"/>
            <family val="2"/>
          </rPr>
          <t xml:space="preserve">
LMF #7331423201129 in future shipments?</t>
        </r>
      </text>
    </comment>
    <comment ref="K173" authorId="0" shapeId="0">
      <text>
        <r>
          <rPr>
            <b/>
            <sz val="9"/>
            <color indexed="81"/>
            <rFont val="Tahoma"/>
            <family val="2"/>
          </rPr>
          <t>Candice Randall:</t>
        </r>
        <r>
          <rPr>
            <sz val="9"/>
            <color indexed="81"/>
            <rFont val="Tahoma"/>
            <family val="2"/>
          </rPr>
          <t xml:space="preserve">
LMF #17331423201126 in future shipments?</t>
        </r>
      </text>
    </comment>
    <comment ref="I174" authorId="0" shapeId="0">
      <text>
        <r>
          <rPr>
            <b/>
            <sz val="9"/>
            <color indexed="81"/>
            <rFont val="Tahoma"/>
            <family val="2"/>
          </rPr>
          <t>Candice Randall:</t>
        </r>
        <r>
          <rPr>
            <sz val="9"/>
            <color indexed="81"/>
            <rFont val="Tahoma"/>
            <family val="2"/>
          </rPr>
          <t xml:space="preserve">
LMF #7331423100880 in future shipments?</t>
        </r>
      </text>
    </comment>
    <comment ref="J174" authorId="0" shapeId="0">
      <text>
        <r>
          <rPr>
            <b/>
            <sz val="9"/>
            <color indexed="81"/>
            <rFont val="Tahoma"/>
            <family val="2"/>
          </rPr>
          <t>Candice Randall:</t>
        </r>
        <r>
          <rPr>
            <sz val="9"/>
            <color indexed="81"/>
            <rFont val="Tahoma"/>
            <family val="2"/>
          </rPr>
          <t xml:space="preserve">
LMF #7331423201112 in future shipments?</t>
        </r>
      </text>
    </comment>
    <comment ref="K174" authorId="0" shapeId="0">
      <text>
        <r>
          <rPr>
            <b/>
            <sz val="9"/>
            <color indexed="81"/>
            <rFont val="Tahoma"/>
            <family val="2"/>
          </rPr>
          <t>Candice Randall:</t>
        </r>
        <r>
          <rPr>
            <sz val="9"/>
            <color indexed="81"/>
            <rFont val="Tahoma"/>
            <family val="2"/>
          </rPr>
          <t xml:space="preserve">
LMF #17331423201119 in future shipments?</t>
        </r>
      </text>
    </comment>
    <comment ref="I175" authorId="0" shapeId="0">
      <text>
        <r>
          <rPr>
            <b/>
            <sz val="9"/>
            <color indexed="81"/>
            <rFont val="Tahoma"/>
            <family val="2"/>
          </rPr>
          <t>Candice Randall:</t>
        </r>
        <r>
          <rPr>
            <sz val="9"/>
            <color indexed="81"/>
            <rFont val="Tahoma"/>
            <family val="2"/>
          </rPr>
          <t xml:space="preserve">
LMF #7331423100873 in future shipments?</t>
        </r>
      </text>
    </comment>
    <comment ref="J175" authorId="0" shapeId="0">
      <text>
        <r>
          <rPr>
            <b/>
            <sz val="9"/>
            <color indexed="81"/>
            <rFont val="Tahoma"/>
            <family val="2"/>
          </rPr>
          <t>Candice Randall:</t>
        </r>
        <r>
          <rPr>
            <sz val="9"/>
            <color indexed="81"/>
            <rFont val="Tahoma"/>
            <family val="2"/>
          </rPr>
          <t xml:space="preserve">
LMF #7331423201105 in future shipments?</t>
        </r>
      </text>
    </comment>
    <comment ref="K175" authorId="0" shapeId="0">
      <text>
        <r>
          <rPr>
            <b/>
            <sz val="9"/>
            <color indexed="81"/>
            <rFont val="Tahoma"/>
            <family val="2"/>
          </rPr>
          <t>Candice Randall:</t>
        </r>
        <r>
          <rPr>
            <sz val="9"/>
            <color indexed="81"/>
            <rFont val="Tahoma"/>
            <family val="2"/>
          </rPr>
          <t xml:space="preserve">
LMF #17331423201102 in future shipments?</t>
        </r>
      </text>
    </comment>
    <comment ref="I176" authorId="0" shapeId="0">
      <text>
        <r>
          <rPr>
            <b/>
            <sz val="9"/>
            <color indexed="81"/>
            <rFont val="Tahoma"/>
            <family val="2"/>
          </rPr>
          <t>Candice Randall:</t>
        </r>
        <r>
          <rPr>
            <sz val="9"/>
            <color indexed="81"/>
            <rFont val="Tahoma"/>
            <family val="2"/>
          </rPr>
          <t xml:space="preserve">
LMF #7331423008247 on future shipments?</t>
        </r>
      </text>
    </comment>
    <comment ref="J176" authorId="0" shapeId="0">
      <text>
        <r>
          <rPr>
            <b/>
            <sz val="9"/>
            <color indexed="81"/>
            <rFont val="Tahoma"/>
            <family val="2"/>
          </rPr>
          <t>Candice Randall:</t>
        </r>
        <r>
          <rPr>
            <sz val="9"/>
            <color indexed="81"/>
            <rFont val="Tahoma"/>
            <family val="2"/>
          </rPr>
          <t xml:space="preserve">
LMF confirming LMF #7331423202270 with warehouse number (shown)</t>
        </r>
      </text>
    </comment>
    <comment ref="I177" authorId="0" shapeId="0">
      <text>
        <r>
          <rPr>
            <b/>
            <sz val="9"/>
            <color indexed="81"/>
            <rFont val="Tahoma"/>
            <family val="2"/>
          </rPr>
          <t>Candice Randall:</t>
        </r>
        <r>
          <rPr>
            <sz val="9"/>
            <color indexed="81"/>
            <rFont val="Tahoma"/>
            <family val="2"/>
          </rPr>
          <t xml:space="preserve">
LMF #7331423100965 on future shipments?</t>
        </r>
      </text>
    </comment>
    <comment ref="J177" authorId="0" shapeId="0">
      <text>
        <r>
          <rPr>
            <b/>
            <sz val="9"/>
            <color indexed="81"/>
            <rFont val="Tahoma"/>
            <family val="2"/>
          </rPr>
          <t>Candice Randall:</t>
        </r>
        <r>
          <rPr>
            <sz val="9"/>
            <color indexed="81"/>
            <rFont val="Tahoma"/>
            <family val="2"/>
          </rPr>
          <t xml:space="preserve">
LMF #7331423201198 on future shipments?</t>
        </r>
      </text>
    </comment>
    <comment ref="K177" authorId="0" shapeId="0">
      <text>
        <r>
          <rPr>
            <b/>
            <sz val="9"/>
            <color indexed="81"/>
            <rFont val="Tahoma"/>
            <family val="2"/>
          </rPr>
          <t>Candice Randall:</t>
        </r>
        <r>
          <rPr>
            <sz val="9"/>
            <color indexed="81"/>
            <rFont val="Tahoma"/>
            <family val="2"/>
          </rPr>
          <t xml:space="preserve">
LMF #17331423201195 on future shipments?</t>
        </r>
      </text>
    </comment>
    <comment ref="J208" authorId="0" shapeId="0">
      <text>
        <r>
          <rPr>
            <b/>
            <sz val="9"/>
            <color indexed="81"/>
            <rFont val="Tahoma"/>
            <family val="2"/>
          </rPr>
          <t>Candice Randall:</t>
        </r>
        <r>
          <rPr>
            <sz val="9"/>
            <color indexed="81"/>
            <rFont val="Tahoma"/>
            <family val="2"/>
          </rPr>
          <t xml:space="preserve">
Confirming LMF #7331423008322 or warehouse inventory (shown)?</t>
        </r>
      </text>
    </comment>
    <comment ref="J214" authorId="0" shapeId="0">
      <text>
        <r>
          <rPr>
            <b/>
            <sz val="9"/>
            <color indexed="81"/>
            <rFont val="Tahoma"/>
            <family val="2"/>
          </rPr>
          <t>Candice Randall:</t>
        </r>
        <r>
          <rPr>
            <sz val="9"/>
            <color indexed="81"/>
            <rFont val="Tahoma"/>
            <family val="2"/>
          </rPr>
          <t xml:space="preserve">
Confirming LMF #7331423008537 or warehouse inventory (shown)?</t>
        </r>
      </text>
    </comment>
    <comment ref="I230" authorId="0" shapeId="0">
      <text>
        <r>
          <rPr>
            <b/>
            <sz val="9"/>
            <color indexed="81"/>
            <rFont val="Tahoma"/>
            <family val="2"/>
          </rPr>
          <t>Candice Randall:</t>
        </r>
        <r>
          <rPr>
            <sz val="9"/>
            <color indexed="81"/>
            <rFont val="Tahoma"/>
            <family val="2"/>
          </rPr>
          <t xml:space="preserve">
Confirming LMF #7331423100705 or warehouse inventory (shown)?</t>
        </r>
      </text>
    </comment>
    <comment ref="I231" authorId="0" shapeId="0">
      <text>
        <r>
          <rPr>
            <b/>
            <sz val="9"/>
            <color indexed="81"/>
            <rFont val="Tahoma"/>
            <family val="2"/>
          </rPr>
          <t>Candice Randall:</t>
        </r>
        <r>
          <rPr>
            <sz val="9"/>
            <color indexed="81"/>
            <rFont val="Tahoma"/>
            <family val="2"/>
          </rPr>
          <t xml:space="preserve">
Confirming LMF #7331423008131 or warehouse inventory (shown)?</t>
        </r>
      </text>
    </comment>
    <comment ref="I238" authorId="0" shapeId="0">
      <text>
        <r>
          <rPr>
            <b/>
            <sz val="9"/>
            <color indexed="81"/>
            <rFont val="Tahoma"/>
            <family val="2"/>
          </rPr>
          <t>Candice Randall:</t>
        </r>
        <r>
          <rPr>
            <sz val="9"/>
            <color indexed="81"/>
            <rFont val="Tahoma"/>
            <family val="2"/>
          </rPr>
          <t xml:space="preserve">
Confirming LMF #7331423008179 or warehouse inventory (shown)?</t>
        </r>
      </text>
    </comment>
    <comment ref="I249" authorId="0" shapeId="0">
      <text>
        <r>
          <rPr>
            <b/>
            <sz val="9"/>
            <color indexed="81"/>
            <rFont val="Tahoma"/>
            <family val="2"/>
          </rPr>
          <t>Candice Randall:</t>
        </r>
        <r>
          <rPr>
            <sz val="9"/>
            <color indexed="81"/>
            <rFont val="Tahoma"/>
            <family val="2"/>
          </rPr>
          <t xml:space="preserve">
Confirming LMF #7331423008056 or warehouse inventory (shown)?</t>
        </r>
      </text>
    </comment>
    <comment ref="J249" authorId="0" shapeId="0">
      <text>
        <r>
          <rPr>
            <b/>
            <sz val="9"/>
            <color indexed="81"/>
            <rFont val="Tahoma"/>
            <family val="2"/>
          </rPr>
          <t>Candice Randall:</t>
        </r>
        <r>
          <rPr>
            <sz val="9"/>
            <color indexed="81"/>
            <rFont val="Tahoma"/>
            <family val="2"/>
          </rPr>
          <t xml:space="preserve">
Confirming LMF #7331423202263 or warehouse inventory (shown)?</t>
        </r>
      </text>
    </comment>
    <comment ref="H258" authorId="0" shapeId="0">
      <text>
        <r>
          <rPr>
            <b/>
            <sz val="9"/>
            <color indexed="81"/>
            <rFont val="Tahoma"/>
            <family val="2"/>
          </rPr>
          <t>Candice Randall:</t>
        </r>
        <r>
          <rPr>
            <sz val="9"/>
            <color indexed="81"/>
            <rFont val="Tahoma"/>
            <family val="2"/>
          </rPr>
          <t xml:space="preserve">
Same UPC # for each color</t>
        </r>
      </text>
    </comment>
    <comment ref="H261" authorId="0" shapeId="0">
      <text>
        <r>
          <rPr>
            <b/>
            <sz val="9"/>
            <color indexed="81"/>
            <rFont val="Tahoma"/>
            <family val="2"/>
          </rPr>
          <t>Candice Randall:</t>
        </r>
        <r>
          <rPr>
            <sz val="9"/>
            <color indexed="81"/>
            <rFont val="Tahoma"/>
            <family val="2"/>
          </rPr>
          <t xml:space="preserve">
Same UPC # for each color</t>
        </r>
      </text>
    </comment>
    <comment ref="H262" authorId="0" shapeId="0">
      <text>
        <r>
          <rPr>
            <b/>
            <sz val="9"/>
            <color indexed="81"/>
            <rFont val="Tahoma"/>
            <family val="2"/>
          </rPr>
          <t>Candice Randall:</t>
        </r>
        <r>
          <rPr>
            <sz val="9"/>
            <color indexed="81"/>
            <rFont val="Tahoma"/>
            <family val="2"/>
          </rPr>
          <t xml:space="preserve">
Same UPC # for each color</t>
        </r>
      </text>
    </comment>
    <comment ref="H267" authorId="0" shapeId="0">
      <text>
        <r>
          <rPr>
            <b/>
            <sz val="9"/>
            <color indexed="81"/>
            <rFont val="Tahoma"/>
            <family val="2"/>
          </rPr>
          <t>Candice Randall:</t>
        </r>
        <r>
          <rPr>
            <sz val="9"/>
            <color indexed="81"/>
            <rFont val="Tahoma"/>
            <family val="2"/>
          </rPr>
          <t xml:space="preserve">
Same UPC # for each color</t>
        </r>
      </text>
    </comment>
    <comment ref="H269" authorId="0" shapeId="0">
      <text>
        <r>
          <rPr>
            <b/>
            <sz val="9"/>
            <color indexed="81"/>
            <rFont val="Tahoma"/>
            <family val="2"/>
          </rPr>
          <t>Candice Randall:</t>
        </r>
        <r>
          <rPr>
            <sz val="9"/>
            <color indexed="81"/>
            <rFont val="Tahoma"/>
            <family val="2"/>
          </rPr>
          <t xml:space="preserve">
Same UPC # for each color??</t>
        </r>
      </text>
    </comment>
  </commentList>
</comments>
</file>

<file path=xl/comments3.xml><?xml version="1.0" encoding="utf-8"?>
<comments xmlns="http://schemas.openxmlformats.org/spreadsheetml/2006/main">
  <authors>
    <author>Candice Randall</author>
  </authors>
  <commentList>
    <comment ref="Q18" authorId="0" shapeId="0">
      <text>
        <r>
          <rPr>
            <b/>
            <sz val="9"/>
            <color indexed="81"/>
            <rFont val="Tahoma"/>
            <family val="2"/>
          </rPr>
          <t>Candice Randall:</t>
        </r>
        <r>
          <rPr>
            <sz val="9"/>
            <color indexed="81"/>
            <rFont val="Tahoma"/>
            <family val="2"/>
          </rPr>
          <t xml:space="preserve">
Length</t>
        </r>
      </text>
    </comment>
    <comment ref="R18" authorId="0" shapeId="0">
      <text>
        <r>
          <rPr>
            <b/>
            <sz val="9"/>
            <color indexed="81"/>
            <rFont val="Tahoma"/>
            <family val="2"/>
          </rPr>
          <t>Candice Randall:</t>
        </r>
        <r>
          <rPr>
            <sz val="9"/>
            <color indexed="81"/>
            <rFont val="Tahoma"/>
            <family val="2"/>
          </rPr>
          <t xml:space="preserve">
Width</t>
        </r>
      </text>
    </comment>
    <comment ref="S18" authorId="0" shapeId="0">
      <text>
        <r>
          <rPr>
            <b/>
            <sz val="9"/>
            <color indexed="81"/>
            <rFont val="Tahoma"/>
            <family val="2"/>
          </rPr>
          <t>Candice Randall:</t>
        </r>
        <r>
          <rPr>
            <sz val="9"/>
            <color indexed="81"/>
            <rFont val="Tahoma"/>
            <family val="2"/>
          </rPr>
          <t xml:space="preserve">
Height</t>
        </r>
      </text>
    </comment>
  </commentList>
</comments>
</file>

<file path=xl/comments4.xml><?xml version="1.0" encoding="utf-8"?>
<comments xmlns="http://schemas.openxmlformats.org/spreadsheetml/2006/main">
  <authors>
    <author>Candice Randall</author>
  </authors>
  <commentList>
    <comment ref="H12" authorId="0" shapeId="0">
      <text>
        <r>
          <rPr>
            <b/>
            <sz val="9"/>
            <color indexed="81"/>
            <rFont val="Tahoma"/>
            <family val="2"/>
          </rPr>
          <t>Candice Randall:</t>
        </r>
        <r>
          <rPr>
            <sz val="9"/>
            <color indexed="81"/>
            <rFont val="Tahoma"/>
            <family val="2"/>
          </rPr>
          <t xml:space="preserve">
Esbit barcode update?? E-mail to Esbit on 9/24:
4021684020913</t>
        </r>
      </text>
    </comment>
    <comment ref="E15" authorId="0" shapeId="0">
      <text>
        <r>
          <rPr>
            <b/>
            <sz val="9"/>
            <color indexed="81"/>
            <rFont val="Tahoma"/>
            <family val="2"/>
          </rPr>
          <t>Candice Randall:</t>
        </r>
        <r>
          <rPr>
            <sz val="9"/>
            <color indexed="81"/>
            <rFont val="Tahoma"/>
            <family val="2"/>
          </rPr>
          <t xml:space="preserve">
Inline change to images &amp; pot hanger feature - approx. 2016</t>
        </r>
      </text>
    </comment>
    <comment ref="E17" authorId="0" shapeId="0">
      <text>
        <r>
          <rPr>
            <b/>
            <sz val="9"/>
            <color indexed="81"/>
            <rFont val="Tahoma"/>
            <family val="2"/>
          </rPr>
          <t>Candice Randall:</t>
        </r>
        <r>
          <rPr>
            <sz val="9"/>
            <color indexed="81"/>
            <rFont val="Tahoma"/>
            <family val="2"/>
          </rPr>
          <t xml:space="preserve">
Inline change to images &amp; pot hanger feature - approx. 2016</t>
        </r>
      </text>
    </comment>
  </commentList>
</comments>
</file>

<file path=xl/sharedStrings.xml><?xml version="1.0" encoding="utf-8"?>
<sst xmlns="http://schemas.openxmlformats.org/spreadsheetml/2006/main" count="13912" uniqueCount="3223">
  <si>
    <t>The UltraPod I is a small, convenient tripod that can be taken and used anywhere.  Its 3 legs offer a stable base for your small camera, and the strap allows you to attach the UltraPod to a fence, rail, or tree.  The strap is black Velcro "one wrap" and designed to be easily removable. This is designed to be a fun tripod for use with small digital cameras, web cams and more. Can also be used to mount remote flashes to light stands using the Velcro strap.  Weight: 1.7oz.</t>
  </si>
  <si>
    <t>For extreme conditions and discerning customers</t>
  </si>
  <si>
    <t>054269000172</t>
  </si>
  <si>
    <t>054269000189</t>
  </si>
  <si>
    <t>016869050209</t>
  </si>
  <si>
    <t>Transparent</t>
  </si>
  <si>
    <t>Case (Inner) Pack Qty</t>
  </si>
  <si>
    <t>Master Carton Qty</t>
  </si>
  <si>
    <t>P-UCA</t>
  </si>
  <si>
    <t>1 box, 25 matches per box</t>
  </si>
  <si>
    <t>2 boxes, 25 matches per box</t>
  </si>
  <si>
    <t>Variant</t>
  </si>
  <si>
    <t>Product Title</t>
  </si>
  <si>
    <t>Color</t>
  </si>
  <si>
    <t>Aluminum</t>
  </si>
  <si>
    <t>Brass</t>
  </si>
  <si>
    <t>L-REF</t>
  </si>
  <si>
    <t>L-REF-PACFLAT</t>
  </si>
  <si>
    <t>054269100353</t>
  </si>
  <si>
    <t>Brand Name</t>
  </si>
  <si>
    <t>MSRP</t>
  </si>
  <si>
    <t>Bullet #1 (Highlight Features)</t>
  </si>
  <si>
    <t>Bullet #2 (Highlight Features)</t>
  </si>
  <si>
    <t>Bullet #3 (Highlight Features)</t>
  </si>
  <si>
    <t>Bullet #4 (Highlight Features)</t>
  </si>
  <si>
    <t>Bullet #5 (Highlight Features)</t>
  </si>
  <si>
    <t>Model/Stock Number</t>
  </si>
  <si>
    <t>Paragraph 1</t>
  </si>
  <si>
    <t>Paragraph 2</t>
  </si>
  <si>
    <t>Paragraph 3</t>
  </si>
  <si>
    <t>Made from sturdy aluminum, brass, and fiberglass-reinforced nylon.</t>
  </si>
  <si>
    <t>The UltraClamp Assembly allows a camera to be solidly attached to a car window, bicycle handlebar, picnic table, or other similar object. Strong enough for any camera or camcorder, the UltraClamp Assembly attaches to round or flat objects up to 1.5 inches thick. The UltraClamp Assembly utilizes the same ball and socket mount found on UltraPods to allow the camera maximum flexibility in framing the subject. Weighs 6 oz. and measures 3.0" x 5.5".</t>
  </si>
  <si>
    <t>Burns all varieties of tealight candles</t>
  </si>
  <si>
    <t>054269100902</t>
  </si>
  <si>
    <t>Quick Release for UP1</t>
  </si>
  <si>
    <t>Quick Release for UP2</t>
  </si>
  <si>
    <t>The Pedco Quick Release Head easily replaces the original ball head on an Ultrapod I or Mini, allowing simple and fast attaching of Cameras or other devices.  Camera clicks easily into the Quick Release with Camera Button screwed into camera.   The Quick Release also connects to Camera Phones using the universal "belt clip" button on your phone or phone case, or using the included button attached to the back of your phone or other device.  Requires an Ultrapod I or Mini.</t>
  </si>
  <si>
    <t>Take shake-free photos with your camera phone</t>
  </si>
  <si>
    <t>016869131182</t>
  </si>
  <si>
    <t>P-UMOUNT-STD</t>
  </si>
  <si>
    <t>016869030201</t>
  </si>
  <si>
    <t>The Pedco UltraMount is designed to attach to any tripod, or other device that has a standard mounting thread.  Once in place, it allows you to attach a Camera, GPS, or other device and angle it in any possible direction.  The ball head swivels 360 degrees, and the clamp can rotate 180 degrees.  The UltraMount will hold nearly any device, and gives additional functionality to your tools.</t>
  </si>
  <si>
    <t>P-CELLPOD</t>
  </si>
  <si>
    <t>Replaces the standard ball head on Ultrapod 1 (UP1) and Ultrapod Minis</t>
  </si>
  <si>
    <t>Quickly attach Cameras, Camera Phones, GPS, etc.</t>
  </si>
  <si>
    <t>Includes button to attach to camera phone or other device</t>
  </si>
  <si>
    <t>Flavor Fountain</t>
  </si>
  <si>
    <t>023535968003</t>
  </si>
  <si>
    <t>Unsweetened, concentrated, kosher, and non-allergenic.</t>
  </si>
  <si>
    <t>Blue</t>
  </si>
  <si>
    <t>Green</t>
  </si>
  <si>
    <t>Orange</t>
  </si>
  <si>
    <t>Pink</t>
  </si>
  <si>
    <t>Purple</t>
  </si>
  <si>
    <t>Red</t>
  </si>
  <si>
    <t>054269100360</t>
  </si>
  <si>
    <t>054269100339</t>
  </si>
  <si>
    <t>S-SPICEBOX-PLEXI</t>
  </si>
  <si>
    <t>ASST</t>
  </si>
  <si>
    <t>016869110262</t>
  </si>
  <si>
    <t>016869020103</t>
  </si>
  <si>
    <t>Extremely lightweight and compact with sturdy fold-out legs.</t>
  </si>
  <si>
    <t>Unique ball and socket camera mount assembly for easy adjustment.</t>
  </si>
  <si>
    <t>Strong Velcro strap allows attachment to posts, tree limbs, railings, pack frames, or any similar sturdy object.</t>
  </si>
  <si>
    <t>Weighs only 1.7 oz.  Folds to 4" for easy packing.</t>
  </si>
  <si>
    <t>Also available in Orange and Yellow.  Made in the USA.</t>
  </si>
  <si>
    <t>N/A</t>
  </si>
  <si>
    <t>TARIFF CODE</t>
  </si>
  <si>
    <t>Silver</t>
  </si>
  <si>
    <t>Dishwasher safe</t>
  </si>
  <si>
    <t>Grandpa's FireFork</t>
  </si>
  <si>
    <t>NAVY</t>
  </si>
  <si>
    <t>GREY</t>
  </si>
  <si>
    <t>TRANSP</t>
  </si>
  <si>
    <t>TRN-PINK</t>
  </si>
  <si>
    <t>WHITE</t>
  </si>
  <si>
    <t>Passion Blue</t>
  </si>
  <si>
    <t>Transparent Blue</t>
  </si>
  <si>
    <t>Transparent Green</t>
  </si>
  <si>
    <t>Transparent Orange</t>
  </si>
  <si>
    <t>Transparent Pink</t>
  </si>
  <si>
    <t>DKGRN</t>
  </si>
  <si>
    <t>S-SP-BULK-T</t>
  </si>
  <si>
    <t>White</t>
  </si>
  <si>
    <t>S-SP-LITTLE-BLIS-T</t>
  </si>
  <si>
    <t>016869010203</t>
  </si>
  <si>
    <t>S-SP-4PACK-T</t>
  </si>
  <si>
    <t>RED</t>
  </si>
  <si>
    <t>BLUE</t>
  </si>
  <si>
    <t>GREEN</t>
  </si>
  <si>
    <t>YELLOW</t>
  </si>
  <si>
    <t>PINK</t>
  </si>
  <si>
    <t>ORANGE</t>
  </si>
  <si>
    <t>S-FSAR-BLISTER</t>
  </si>
  <si>
    <t>S-FSSC-BLISTER</t>
  </si>
  <si>
    <t>BLACK</t>
  </si>
  <si>
    <t>Each package contains around 6 sticks.</t>
  </si>
  <si>
    <t>P-UCA25</t>
  </si>
  <si>
    <t>Weighs only 6.5 oz.</t>
  </si>
  <si>
    <t>Utilizes the UltraMount ball and socket head for quick and easy adjustment of camera, binocular, or scope position.</t>
  </si>
  <si>
    <t>Clamps on to anything from 1" to 2.5" in width - fences, railings, rollbars and tables</t>
  </si>
  <si>
    <t>The UltraClamp Assembly 2.5" allows a camera to be solidly attached to a rollbar, fence, table, or railing. Strong enough for any camera or camcorder, the UltraClamp Assembly 2.5" attaches to round or flat objects from 1" to 2.5" thick. The UltraClamp Assembly 2.5" utilizes the same ball and socket mount found on UltraPods to allow the camera maximum flexibility in framing the subject. Weighs 6.5 oz. and measures 4.0" x 5.5".</t>
  </si>
  <si>
    <t>TinderDust/TinderSticks</t>
  </si>
  <si>
    <t>054269100308</t>
  </si>
  <si>
    <t>Replaces the standard ball head on UltraPod 2 (UP2) and UltraPod Digital</t>
  </si>
  <si>
    <t>The Pedco Quick Release Head easily replaces the original ball head on an UltraPod 2 or Digital, allowing simple and fast attaching of Cameras or other devices.  Camera clicks easily into the Quick Release with Camera Button screwed into camera.   The Quick Release also connects to Camera Phones using the universal "belt clip" button on your phone or phone case, or using the included button attached to the back of your phone or other device.  Requires an UltraPod 2 or Digital.</t>
  </si>
  <si>
    <t>The Mini is a modified, "made-for-fun" version of the UltraPod I. The same basic design, except the legs are slightly shorter and trimmed at an angle like the UltraPod II. It is molded in translucent "edge glow" polycarbonate resin, in vibrant orange, yellow, or blue, with metallic silver feet. The strap is colored Velcro "one wrap" and designed to be easily removable. This is designed to be a fun tripod for use with small digital cameras, web cams and more. Can also be used to mount remote flashes to light stands using the Velcro strap. This is a very sharp looking tripod and attracts the attention of everyone that sees it.  Weight: 1.7oz.</t>
  </si>
  <si>
    <t>Made in the USA</t>
  </si>
  <si>
    <t>8513.10.4000</t>
  </si>
  <si>
    <t>The perfectly designed outdoor eating utensil. Our spoon-fork-knife combo brings a bit of civilization to the wild and a bit of the wild to civilization. Designed especially for Light My Fire by Scandinavian designer Joachim Nordwall. The Spork is perfect for your backpack, boat, picnic basket, lunchbox, purse or briefcase.</t>
  </si>
  <si>
    <t>Yellow</t>
  </si>
  <si>
    <t>Black</t>
  </si>
  <si>
    <t>Dark Green</t>
  </si>
  <si>
    <t>Assorted</t>
  </si>
  <si>
    <t>Industrial Revolution, Inc. was founded in Redmond, Washington as UCO Corporation in 1973.  UCO quickly became the world leader in production of candle lanterns with designs and accessories that were superior to all other available products.  Innovation has been a cornerstone of the company ever since.  We now offer a full line of U.S.-made candle lanterns including the Original, the Mini (which burns tealight candles) and the Candlelier (which burns three standard UCO candles).  In 2004 we began selling our new Play and Freeze Ice Cream Maker, a product spawned from the outdoor industry but which now delights children and adults everywhere.  In 2005, we became the exclusive U.S. Distributor for the Swedish Light My Fire product line.  We have now expanded our offerings to the outdoor, housewares and travel industries to include Grilliput, Swiss Spice and our MEGA Play &amp; Freeze.  We pride ourselves in offering top quality products.</t>
  </si>
  <si>
    <t>UPC - EAN</t>
  </si>
  <si>
    <t>FireSteel</t>
  </si>
  <si>
    <t>Sporks</t>
  </si>
  <si>
    <t>Mini</t>
  </si>
  <si>
    <t>Candlelier</t>
  </si>
  <si>
    <t>Candles</t>
  </si>
  <si>
    <t>Light My Fire</t>
  </si>
  <si>
    <t>Micro</t>
  </si>
  <si>
    <t>054269121006</t>
  </si>
  <si>
    <t>054269121105</t>
  </si>
  <si>
    <t>054269121051</t>
  </si>
  <si>
    <t>054269121259</t>
  </si>
  <si>
    <t>B-LTN-STD</t>
  </si>
  <si>
    <t/>
  </si>
  <si>
    <t>F-FF-4PK</t>
  </si>
  <si>
    <t>S-MSTICKS</t>
  </si>
  <si>
    <t>L-A-STD</t>
  </si>
  <si>
    <t>L-B-STD</t>
  </si>
  <si>
    <t>A-A-STD</t>
  </si>
  <si>
    <t>D-A-STD</t>
  </si>
  <si>
    <t>C-A-STD</t>
  </si>
  <si>
    <t>L-CAN3PK</t>
  </si>
  <si>
    <t>L-CAN3PK-B</t>
  </si>
  <si>
    <t>L-CAN3PK-C</t>
  </si>
  <si>
    <t>C-BAG-CO</t>
  </si>
  <si>
    <t>P-UP1-BK-STD</t>
  </si>
  <si>
    <t>P-UP2-BK-STD</t>
  </si>
  <si>
    <t>054269000233</t>
  </si>
  <si>
    <t>Sturdy tripod securely holds your iPhone or other smart phone at any angle</t>
  </si>
  <si>
    <t>Tripod is made of durable glass-filled nylon with brass and aluminum parts</t>
  </si>
  <si>
    <t>Remove clamp head to use as mini tripod for digital camera or other devices</t>
  </si>
  <si>
    <t>Velcro strap allows CellPod to be attached to rails, limbs, anything</t>
  </si>
  <si>
    <t>The Pedco CellPod is a small yet sturdy tripod that easily holds iPhones or other smartphones.  It's perfect for watching a movie while traveling, stabilizing a photo, and elegantly holding your phone at home or the office.  The CellPod swivels in every direction to allow any viewing angle.  Cellpod weighs three ounces and fits easily in the palm of a hand.  It is small enough to be stored in a pocket, purse, briefcase or backpack.</t>
  </si>
  <si>
    <t>3924.10.4000</t>
  </si>
  <si>
    <t>S-SP-PLEXI-T</t>
  </si>
  <si>
    <t>S-SP-SMALLPLEXI-T</t>
  </si>
  <si>
    <t>S-SP-TITANIUM</t>
  </si>
  <si>
    <t>UCO</t>
  </si>
  <si>
    <t>054269100209</t>
  </si>
  <si>
    <t>054269101008</t>
  </si>
  <si>
    <t>054269101053</t>
  </si>
  <si>
    <t>054269101107</t>
  </si>
  <si>
    <t>054269101152</t>
  </si>
  <si>
    <t>054269101305</t>
  </si>
  <si>
    <t>054269100254</t>
  </si>
  <si>
    <t>054269100650</t>
  </si>
  <si>
    <t>054269111007</t>
  </si>
  <si>
    <t>054269111106</t>
  </si>
  <si>
    <t>054269111205</t>
  </si>
  <si>
    <t>054269111304</t>
  </si>
  <si>
    <t>054269111403</t>
  </si>
  <si>
    <t>054269100759</t>
  </si>
  <si>
    <t>054269103200</t>
  </si>
  <si>
    <t>054269103002</t>
  </si>
  <si>
    <t>054269103101</t>
  </si>
  <si>
    <t>054269103057</t>
  </si>
  <si>
    <t>054269103156</t>
  </si>
  <si>
    <t>054269103354</t>
  </si>
  <si>
    <t>054269301002</t>
  </si>
  <si>
    <t>Outdoor</t>
  </si>
  <si>
    <t>054269200305</t>
  </si>
  <si>
    <t>054269200107</t>
  </si>
  <si>
    <t>054269200206</t>
  </si>
  <si>
    <t>054269200404</t>
  </si>
  <si>
    <t>054269200503</t>
  </si>
  <si>
    <t>Navy</t>
  </si>
  <si>
    <t>PEDCO</t>
  </si>
  <si>
    <t>054269000196</t>
  </si>
  <si>
    <t>Weighs only 4 oz.  Folds to 7" for easy packing.</t>
  </si>
  <si>
    <t>Made in the USA.</t>
  </si>
  <si>
    <t>The UltraPod II is a larger version of the popular UltraPod I and is an excellent platform for camcorders, spotting scopes, medium format cameras, and 35 mm cameras with larger lenses.  The UltraPod II is made of high quality glass-filled Nylon and aluminum threaded components ready to provide years of support for the most demanding photographer. The system can stand on fold-out, no-slip feet, or attach to solid objects with a Velcro strap.  A unique ball and socket camera mount assembly adjusts to multiple positions quickly and easily. Swiftly folds to a compact 7” packages and weighs only 4 oz.</t>
  </si>
  <si>
    <t>L-BAG-CO</t>
  </si>
  <si>
    <t>Clear</t>
  </si>
  <si>
    <t>D-RETRO</t>
  </si>
  <si>
    <t>054269307004</t>
  </si>
  <si>
    <t>C-REF</t>
  </si>
  <si>
    <t>054269201050</t>
  </si>
  <si>
    <t>016869140207</t>
  </si>
  <si>
    <t>L-REPAIRKIT</t>
  </si>
  <si>
    <t>A-GL-REP</t>
  </si>
  <si>
    <t>L-GL-UCO</t>
  </si>
  <si>
    <t>C-GL-REP</t>
  </si>
  <si>
    <t>054269101350</t>
  </si>
  <si>
    <t>054269103750</t>
  </si>
  <si>
    <t>054269100605</t>
  </si>
  <si>
    <t>054269201005</t>
  </si>
  <si>
    <t>A-CAN6PK</t>
  </si>
  <si>
    <t>A-CAN3PK-B</t>
  </si>
  <si>
    <t>054269103705</t>
  </si>
  <si>
    <t>054269103729</t>
  </si>
  <si>
    <t>S-FSSC2-BLISTER</t>
  </si>
  <si>
    <t>7331423004294</t>
  </si>
  <si>
    <t>7331423004317</t>
  </si>
  <si>
    <t>7331423004348</t>
  </si>
  <si>
    <t>S-FSAR2-BLISTER</t>
  </si>
  <si>
    <t>7331423004270</t>
  </si>
  <si>
    <t>7331423004287</t>
  </si>
  <si>
    <t>MT-SM-CONT</t>
  </si>
  <si>
    <t>054269000325</t>
  </si>
  <si>
    <t>054269000318</t>
  </si>
  <si>
    <t>P-CPA</t>
  </si>
  <si>
    <t>The Pedco CellPod Adapter attaches to any tripod with a 1/4"x20 screw.  The adaptor holds iPhones or other smartphones and is perfect for watching a movie while traveling, stabilizing a photo, or holding your phone at home or work.  The Cellpod Adapter weighs .7 ounces and can be stored in a pocket, purse, briefcase or backpack.</t>
  </si>
  <si>
    <t>054269000257</t>
  </si>
  <si>
    <t>Take shake-free photos using your camera phone and your tripod</t>
  </si>
  <si>
    <t>Sturdy clamp securely holds your iPhone or other smart phone</t>
  </si>
  <si>
    <t>Attaches to any tripod</t>
  </si>
  <si>
    <t>Weighs just 22g</t>
  </si>
  <si>
    <t>P-UCA40</t>
  </si>
  <si>
    <t>054269000332</t>
  </si>
  <si>
    <t>The UltraClamp Assembly 4.0" allows a camera to be solidly attached to a tree, fence, table, or railing. Strong enough for any camera or camcorder, the UltraClamp Assembly 4.0" attaches to round or flat objects from 0" to 4" thick. The UltraClamp Assembly 4.0" utilizes the same ball and socket mount found on UltraPods to allow the camera maximum flexibility in framing the subject. Mount can be attached either on top or side of clamp. Weighs 9.9 oz. and measures 6.0" x 6.63".</t>
  </si>
  <si>
    <t>Utilizes a unique ball and socket head for quick and easy adjustment of camera, binocular, or scope position.</t>
  </si>
  <si>
    <t>Clamps on to anything from 0" to 4" in width - fences, railings, rollbars and tables</t>
  </si>
  <si>
    <t>Weighs only 9.9 oz.</t>
  </si>
  <si>
    <t>ESBIT</t>
  </si>
  <si>
    <t>4260149870711</t>
  </si>
  <si>
    <t>4260149870285</t>
  </si>
  <si>
    <t>4260149870728</t>
  </si>
  <si>
    <t>4260149870704</t>
  </si>
  <si>
    <t>4021684010204</t>
  </si>
  <si>
    <t>4260149870438</t>
  </si>
  <si>
    <t>4260149870506</t>
  </si>
  <si>
    <t>4260149870131</t>
  </si>
  <si>
    <t>4260149870148</t>
  </si>
  <si>
    <t>4260149870193</t>
  </si>
  <si>
    <t>4260149870209</t>
  </si>
  <si>
    <t>7321.19.0000</t>
  </si>
  <si>
    <t>8108.90.9099</t>
  </si>
  <si>
    <t>7419.99.9099</t>
  </si>
  <si>
    <t>7615.19.9000</t>
  </si>
  <si>
    <t>9617.00.0000</t>
  </si>
  <si>
    <t>Double-walled construction</t>
  </si>
  <si>
    <t>High quality stainless steel</t>
  </si>
  <si>
    <t>E-STOVE-6X14</t>
  </si>
  <si>
    <t>E-STOVE-TI</t>
  </si>
  <si>
    <t>E-STOVE-EMERG</t>
  </si>
  <si>
    <t>E-FUEL-12X14</t>
  </si>
  <si>
    <t>E-FUEL-20X4</t>
  </si>
  <si>
    <t>E-AB300BR</t>
  </si>
  <si>
    <t>E-BBQ300S</t>
  </si>
  <si>
    <t>E-CS585HA</t>
  </si>
  <si>
    <t>E-CS985HA</t>
  </si>
  <si>
    <t>E-VF500ML</t>
  </si>
  <si>
    <t>E-VF750ML</t>
  </si>
  <si>
    <t>Silver-coated inner body for superior insulation and heat preservation</t>
  </si>
  <si>
    <t>BPA-free</t>
  </si>
  <si>
    <t>2 Drinking mugs</t>
  </si>
  <si>
    <t>The Esbit .5 L Vacuum Flask has a double-walled construction with high-quality stainless steel. The silver-coated inner body provides superior insulation for hot or cold items.  Includes 2 mugs, 2 screw plugs and BPA-free.   Wt 13 oz.</t>
  </si>
  <si>
    <t>The Esbit .75 L Vacuum Flask has a double-walled construction with high-quality stainless steel. The silver-coated inner body provides superior insulation for hot or cold items.  Includes 2 mugs, 2 screw plugs and BPA-free.   Wt 16 oz</t>
  </si>
  <si>
    <t xml:space="preserve">The Esbit story began in 1936. Since than, Esibit stands for safe and highly efficient solid fuel cubes and stoves that have been used the world over. This compact solid source will provide a steady and reliable heat for cooking, boiling water or for warmth in the outdoors. </t>
  </si>
  <si>
    <t>MT-SM1-UCO</t>
  </si>
  <si>
    <t>MT-SM2-UCO</t>
  </si>
  <si>
    <t>MT-EMPTY-CASE</t>
  </si>
  <si>
    <t>MT-WAT-4PK</t>
  </si>
  <si>
    <t>MT-LONG-BULK</t>
  </si>
  <si>
    <t>Long-Burn Matches</t>
  </si>
  <si>
    <t>054269000349</t>
  </si>
  <si>
    <t>054269000363</t>
  </si>
  <si>
    <t>054269000356</t>
  </si>
  <si>
    <t>S-TSR</t>
  </si>
  <si>
    <t>Knives</t>
  </si>
  <si>
    <t>S-FK</t>
  </si>
  <si>
    <t>B-BAG-CO</t>
  </si>
  <si>
    <t>054269100933</t>
  </si>
  <si>
    <t>Natural</t>
  </si>
  <si>
    <t>`</t>
  </si>
  <si>
    <t>E-PT750-TI</t>
  </si>
  <si>
    <t>4260149870292</t>
  </si>
  <si>
    <t>E-WK600HA</t>
  </si>
  <si>
    <t>4260149870162</t>
  </si>
  <si>
    <t>4260149870025</t>
  </si>
  <si>
    <t>E-CS75S</t>
  </si>
  <si>
    <t>4260149870612</t>
  </si>
  <si>
    <t>4260149870056</t>
  </si>
  <si>
    <t>3406.00.0000</t>
  </si>
  <si>
    <t>9006.91.0000</t>
  </si>
  <si>
    <t>054269000394</t>
  </si>
  <si>
    <t>054269000387</t>
  </si>
  <si>
    <t>Inflatable Cover</t>
  </si>
  <si>
    <t>F-INF-PT</t>
  </si>
  <si>
    <t>F-INF-QT</t>
  </si>
  <si>
    <t>Quart</t>
  </si>
  <si>
    <t>Pint</t>
  </si>
  <si>
    <t>ML-LUMORA</t>
  </si>
  <si>
    <t>MT-SV-BULK</t>
  </si>
  <si>
    <t>MT-SV-CASE</t>
  </si>
  <si>
    <t>054269000820</t>
  </si>
  <si>
    <t>054269000813</t>
  </si>
  <si>
    <t>054269000752</t>
  </si>
  <si>
    <t>054269000776</t>
  </si>
  <si>
    <t>054269000769</t>
  </si>
  <si>
    <t>054269000783</t>
  </si>
  <si>
    <t>054269000509</t>
  </si>
  <si>
    <t>054269000455</t>
  </si>
  <si>
    <t>Titanium Stove</t>
  </si>
  <si>
    <t>Foldable BBQ Box</t>
  </si>
  <si>
    <t>Vacuum Flask, .5L</t>
  </si>
  <si>
    <t>Vacuum Flask, .75L</t>
  </si>
  <si>
    <t>S-SP-LEFTY-T</t>
  </si>
  <si>
    <t>054269000370</t>
  </si>
  <si>
    <t>054269103712</t>
  </si>
  <si>
    <t>S-MK-HARNESS</t>
  </si>
  <si>
    <t>Harness</t>
  </si>
  <si>
    <t>S-SP-XM-BULK-T</t>
  </si>
  <si>
    <t>054269000400</t>
  </si>
  <si>
    <t>054269000417</t>
  </si>
  <si>
    <t>054269000424</t>
  </si>
  <si>
    <t>PURPLE</t>
  </si>
  <si>
    <t>E-CMSS</t>
  </si>
  <si>
    <t>E-MG350ML</t>
  </si>
  <si>
    <t>Country of Origin</t>
  </si>
  <si>
    <t>China</t>
  </si>
  <si>
    <t>USA</t>
  </si>
  <si>
    <t>Sweden</t>
  </si>
  <si>
    <t>Thailand</t>
  </si>
  <si>
    <t>India</t>
  </si>
  <si>
    <t>Germany</t>
  </si>
  <si>
    <t>Mexico</t>
  </si>
  <si>
    <t>A-CAN6PK-C</t>
  </si>
  <si>
    <t>Taiwan</t>
  </si>
  <si>
    <t>Constructed from ultralight titanium.</t>
  </si>
  <si>
    <t>Stores in included mesh bag.</t>
  </si>
  <si>
    <t>The Esbit Titanium Pot is an ultralight option for boiling water or cooking food on any fast and light adventure. The 25 oz. pot has 2 hinged grips and a lid with a lockable grip. The pot is large enough to store an Esbit Titanium Stove and some solid fuel tablets (both sold separately) inside the the pot, saving you space in your pack.</t>
  </si>
  <si>
    <t>Constructed from extremely light, hard-anodized aluminum.</t>
  </si>
  <si>
    <t>Coffee pot is constructed from high-quality stainless steel.</t>
  </si>
  <si>
    <t>Use with two Esbit 4 g solid fuel tablets (sold separately).</t>
  </si>
  <si>
    <t>The Esbit Aluminum Mug is a lightweight drinking cup that is light enough to carry in your backpack for those weekend outings. It will hold about 12 oz. of your favorite hot, or cold, beverage as you sit around the campfire in the evenings or huddle around the stove drinking your morning cup of coffee.</t>
  </si>
  <si>
    <t>Constructed from stainless steel.</t>
  </si>
  <si>
    <t>Tablet tray holds Esbit solid fuel tablets (fuel not included).</t>
  </si>
  <si>
    <t>Can also be used with Esbit Alcohol Burner (sold separately).</t>
  </si>
  <si>
    <t>7331423006434</t>
  </si>
  <si>
    <t>Pleasant aroma with less smoke</t>
  </si>
  <si>
    <t>054269000516</t>
  </si>
  <si>
    <t>S-SPICEBOX</t>
  </si>
  <si>
    <t>CYAN</t>
  </si>
  <si>
    <t>Cyan</t>
  </si>
  <si>
    <t>054269000202</t>
  </si>
  <si>
    <t>MT-SM-BULK (POP)</t>
  </si>
  <si>
    <t xml:space="preserve">MT-SM-BULK </t>
  </si>
  <si>
    <t>E-WK1400HA</t>
  </si>
  <si>
    <t>4260149870766</t>
  </si>
  <si>
    <t>E-STOVE-12X14L</t>
  </si>
  <si>
    <t>MT-SB-LARGE</t>
  </si>
  <si>
    <t>054269000851</t>
  </si>
  <si>
    <t>ML-CLARUS</t>
  </si>
  <si>
    <t>054269000882</t>
  </si>
  <si>
    <t>9405.50.2000</t>
  </si>
  <si>
    <t>6305.39.0000</t>
  </si>
  <si>
    <t>4404.10.0090</t>
  </si>
  <si>
    <t>3302.10.1000</t>
  </si>
  <si>
    <t>7326.19.0080</t>
  </si>
  <si>
    <t>S-SP-LITTLE-40PLEXI</t>
  </si>
  <si>
    <t>S-LK</t>
  </si>
  <si>
    <t>S-MK2</t>
  </si>
  <si>
    <t>MealKit 2.0</t>
  </si>
  <si>
    <t>S-SNAP-TRI</t>
  </si>
  <si>
    <t>S-SNAP-OV</t>
  </si>
  <si>
    <t>ELEMENT</t>
  </si>
  <si>
    <t>Tight-fitting, snap-lock lids make the containers waterproof.</t>
  </si>
  <si>
    <t>We ourselves can’t get enough of our practical little box, and we suspect the same might go for you. So we’ve made a 2-pack. Two handy little boxes for just about everything you can think of. Tight-fitting snap-lock lids keep contents—and your backpack—safe and sound, while different colors keep you organized.The boxes are easy to open: just pull the tab. Practical measuring lines inside. Real space savers when not in use as they're stackable.</t>
  </si>
  <si>
    <t>Two handy little boxes for just about everything you can think of and just slightly bigger than the SnapBox original. Tight-fitting snap-lock lids keep contents—and your backpack—safe and sound, while different colors keep you organized. The boxes are easy to open: just pull the tab. Practical measuring lines inside. Real space savers when not in use as they're stackable.</t>
  </si>
  <si>
    <t>P-UMOUNT360</t>
  </si>
  <si>
    <t>P-UCA360</t>
  </si>
  <si>
    <t>054269000431</t>
  </si>
  <si>
    <t>054269000448</t>
  </si>
  <si>
    <t>360° panning capability. Positions device at any angle.</t>
  </si>
  <si>
    <t>Compact and lightweight.</t>
  </si>
  <si>
    <t>Injection-molded, glass-reinforced nylon thermoplastic resin clamp head and knobs.</t>
  </si>
  <si>
    <t>Weight: 2.0 oz. (57 g)</t>
  </si>
  <si>
    <t>Fits any camera, camcorder, binoculars, or other device witha  1/4–20 female thread.</t>
  </si>
  <si>
    <t>The UltraMount 360° is the ball and socket head portion of the UltraClamp 360°. The UltraMount 360° allows you to take the flexibility of the mount and apply it to your existing tripod or walking staff. It fits on any device featuring a 1/4–20 screw, and lets you position your camera, spotting scope, camcorder, or remote flash at the desired angle.</t>
  </si>
  <si>
    <t>Pedco offers a quality line of tripods and clamps offers photographers, sports enthusiasts, and others a unique selection of support devices for cameras, spotting scopes, binoculars, and other gear. Strong, compact, and lightweight, these products are durable enough for use on America’s cup catamarans and light enough to fit in your backpack. Pedco—Simply Functional.</t>
  </si>
  <si>
    <t>Durable aluminum clamp body and screw</t>
  </si>
  <si>
    <t>Attaches to round or flat objects from 0"–1.5" (0 cm–3.8 cm) thick. Maximum Safe Load: 6 lbs. Weight: 5.5 oz., 157g</t>
  </si>
  <si>
    <t>Fits any device with a 1/4–20 tripod socket.</t>
  </si>
  <si>
    <t>The UltraClamp 360° allows a camera to be solidly attached to a rolled down car window, bicycle handlebar, picnic table, or other similar object. Strong enough to support most cameras, spotting scopes, and camcorders, the UltraClamp Assembly attaches to round or flat objects up to 1.5″ (3.8cm) thick. The UltraClamp Assembly utilizes the same ball and socket mount found on UltraPod® II to allow the camera maximum flexibility in framing the subject. The UltraClamp 360°has been used for many diverse tasks. Police agencies have utilized it to plant explosive charges and film from the side of a riot shield. Race car drivers have placed it on rollbars to film their laps. We've even seen people mount cameras on motorcycles with it.</t>
  </si>
  <si>
    <t>Black/Blue</t>
  </si>
  <si>
    <t>054269000936</t>
  </si>
  <si>
    <t>S-FG</t>
  </si>
  <si>
    <t>Attached lid keeps beverages warm.</t>
  </si>
  <si>
    <t>S-PUC</t>
  </si>
  <si>
    <t>S-PUC-4PK</t>
  </si>
  <si>
    <t>ML-ARKA</t>
  </si>
  <si>
    <t>054269000912</t>
  </si>
  <si>
    <t>7331423007103</t>
  </si>
  <si>
    <t>7331423007134</t>
  </si>
  <si>
    <t>7331423007110</t>
  </si>
  <si>
    <t>7331423007097</t>
  </si>
  <si>
    <t>7331423007127</t>
  </si>
  <si>
    <t>7331423007080</t>
  </si>
  <si>
    <t>Candle Lanterns</t>
  </si>
  <si>
    <t>7331423007509 </t>
  </si>
  <si>
    <t>S-FK-REFILL</t>
  </si>
  <si>
    <t>Ultralight, Ultracompact, ultraversatile for extreme sports photographers and travelers on the go.</t>
  </si>
  <si>
    <t>13" PowerStrap mounting system allows cameras to be mounted on large post, roll bars, ski poles or almost anywhere camera go.</t>
  </si>
  <si>
    <t xml:space="preserve">Rugged polycarbonate housing holds cameras up to 3 lbs. </t>
  </si>
  <si>
    <t xml:space="preserve">Single control knob offers complete 360 ball mount adjustability and rugged polycarbonate housing holds cameras up to 3 lbs. </t>
  </si>
  <si>
    <t xml:space="preserve">Pistol Grip for factor makes the POV video and panning fast, easy and stable and TPE provides a grippy handle. </t>
  </si>
  <si>
    <t>L-CA</t>
  </si>
  <si>
    <t>CLEAR</t>
  </si>
  <si>
    <t>054269000868</t>
  </si>
  <si>
    <t>Titanium</t>
  </si>
  <si>
    <t>MT-SA-10PK</t>
  </si>
  <si>
    <t>E-CS2350WN</t>
  </si>
  <si>
    <t>Includes cookset stand, 1.8 L pot, 2.35 L pot, potholder, 2 plastic plates, lid with plastic grip, frying pan, gripper, wind deflector, kettle/pan stand, and alcohol burner.</t>
  </si>
  <si>
    <t>4260149870797</t>
  </si>
  <si>
    <t>S-PUB</t>
  </si>
  <si>
    <t>7331423007028</t>
  </si>
  <si>
    <t>7331423007059</t>
  </si>
  <si>
    <t>7331423007035</t>
  </si>
  <si>
    <t>7331423007011</t>
  </si>
  <si>
    <t>7331423007004</t>
  </si>
  <si>
    <t>Loop for comfortable carrying or strapping to a backpack.</t>
  </si>
  <si>
    <t>Dishwasher and microwave safe.</t>
  </si>
  <si>
    <t>Army 2.0</t>
  </si>
  <si>
    <t>Army</t>
  </si>
  <si>
    <t>Scout 2.0</t>
  </si>
  <si>
    <t>Scout</t>
  </si>
  <si>
    <t>P-UPGO</t>
  </si>
  <si>
    <t>054269000295</t>
  </si>
  <si>
    <t>054269000523</t>
  </si>
  <si>
    <t>TopQ</t>
  </si>
  <si>
    <t>Wood Carving</t>
  </si>
  <si>
    <t>Bushcraft</t>
  </si>
  <si>
    <t>Companion</t>
  </si>
  <si>
    <t>Fishing</t>
  </si>
  <si>
    <t>M-11481</t>
  </si>
  <si>
    <t>M-11482</t>
  </si>
  <si>
    <t>M-1-0749</t>
  </si>
  <si>
    <t>M-11905</t>
  </si>
  <si>
    <t>M-141-7230</t>
  </si>
  <si>
    <t>M-11156</t>
  </si>
  <si>
    <t>M-11728</t>
  </si>
  <si>
    <t>M-11011</t>
  </si>
  <si>
    <t>M-1-0001</t>
  </si>
  <si>
    <t>M-1-0002</t>
  </si>
  <si>
    <t>M-1-0002/0</t>
  </si>
  <si>
    <t>M-1-0003</t>
  </si>
  <si>
    <t>M-1-0601</t>
  </si>
  <si>
    <t>M-1-0611</t>
  </si>
  <si>
    <t>M-1-0612</t>
  </si>
  <si>
    <t>M-11488</t>
  </si>
  <si>
    <t>M-106-1630</t>
  </si>
  <si>
    <t>M-106-1600</t>
  </si>
  <si>
    <t>M-106-1654</t>
  </si>
  <si>
    <t>M-106-1650</t>
  </si>
  <si>
    <t>M-108-1810</t>
  </si>
  <si>
    <t>M-108-1820</t>
  </si>
  <si>
    <t>M-108-1830</t>
  </si>
  <si>
    <t>M-11729</t>
  </si>
  <si>
    <t>M-12050</t>
  </si>
  <si>
    <t>M-10791</t>
  </si>
  <si>
    <t>M-11742</t>
  </si>
  <si>
    <t>M-11863</t>
  </si>
  <si>
    <t>M-11827</t>
  </si>
  <si>
    <t>M-11824</t>
  </si>
  <si>
    <t>M-11829</t>
  </si>
  <si>
    <t>M-11828</t>
  </si>
  <si>
    <t>M-100-0245</t>
  </si>
  <si>
    <t>M-10629</t>
  </si>
  <si>
    <t>M-11935</t>
  </si>
  <si>
    <t>M-12058</t>
  </si>
  <si>
    <t>M-12096</t>
  </si>
  <si>
    <t>M-113-3105</t>
  </si>
  <si>
    <t>M-12098</t>
  </si>
  <si>
    <t>M-11883</t>
  </si>
  <si>
    <t>M-11892</t>
  </si>
  <si>
    <t>M-11893</t>
  </si>
  <si>
    <t>7391846071105</t>
  </si>
  <si>
    <t>7391846074601</t>
  </si>
  <si>
    <t>7391846073116</t>
  </si>
  <si>
    <t>7391846074908</t>
  </si>
  <si>
    <t>7391846010920</t>
  </si>
  <si>
    <t>7316220072301</t>
  </si>
  <si>
    <t>7391846011965</t>
  </si>
  <si>
    <t>7391846013792</t>
  </si>
  <si>
    <t>7350006972959</t>
  </si>
  <si>
    <t>7391846001003</t>
  </si>
  <si>
    <t>7391846002000</t>
  </si>
  <si>
    <t>7391846000204</t>
  </si>
  <si>
    <t>7391846003007</t>
  </si>
  <si>
    <t>7391846060109</t>
  </si>
  <si>
    <t>7391846061106</t>
  </si>
  <si>
    <t>7391846061205</t>
  </si>
  <si>
    <t>7391846012108</t>
  </si>
  <si>
    <t>7316220016305</t>
  </si>
  <si>
    <t>7391846004264</t>
  </si>
  <si>
    <t>7316220016541</t>
  </si>
  <si>
    <t>7316220016503</t>
  </si>
  <si>
    <t>7316220018101</t>
  </si>
  <si>
    <t>7316220018200</t>
  </si>
  <si>
    <t>7316220018309</t>
  </si>
  <si>
    <t>7391846013778</t>
  </si>
  <si>
    <t>7391846013921</t>
  </si>
  <si>
    <t>7391846013013</t>
  </si>
  <si>
    <t>7391846013310</t>
  </si>
  <si>
    <t>7391846010258</t>
  </si>
  <si>
    <t>7391846010128</t>
  </si>
  <si>
    <t>7391846010081</t>
  </si>
  <si>
    <t>7391846010180</t>
  </si>
  <si>
    <t>7391846010203</t>
  </si>
  <si>
    <t>7391846004752</t>
  </si>
  <si>
    <t>7391846200000</t>
  </si>
  <si>
    <t>7391846013570</t>
  </si>
  <si>
    <t>7391846013884</t>
  </si>
  <si>
    <t>7391846010593</t>
  </si>
  <si>
    <t>7391846010616 </t>
  </si>
  <si>
    <t>Stainless, Chisel Edge</t>
  </si>
  <si>
    <t>Laminated Steel</t>
  </si>
  <si>
    <t>8211.92.4050</t>
  </si>
  <si>
    <t>Patterned high-friction grip handle.</t>
  </si>
  <si>
    <t>Black/Yellow</t>
  </si>
  <si>
    <t>8201.40.6010</t>
  </si>
  <si>
    <t>Axe head of black epoxy coated boron steel.</t>
  </si>
  <si>
    <t>Reinforced plastic handle.</t>
  </si>
  <si>
    <t>Knife with Carbon Steel blade</t>
  </si>
  <si>
    <t>Plastic sheath with a belt clip</t>
  </si>
  <si>
    <t>Knife with a stainless steel blade</t>
  </si>
  <si>
    <t>Patterned, double molded, high-friction grip handle</t>
  </si>
  <si>
    <t>The complete TopQ range has knife blades made of the highest-quality Swedish stainless steel available. The knife is extremely sharp and it stays sharp for a long time. Furthermore, the patterned, double-molded, high-friction grip is ergonomically designed making it an efficient, comfortable and safe knife to use. These knives combine extreme sharpness and cutting edge retention.  Black plastic sheath. Chisel knife with a single side honed blade.</t>
  </si>
  <si>
    <t>Grey</t>
  </si>
  <si>
    <t>Areas of Use: Construction</t>
  </si>
  <si>
    <t>Areas of Use: Carpentry and wood work</t>
  </si>
  <si>
    <t>Blade Thickness: 0.09" (0.23 cm), Blade Length: 3.1" (7.8 cm), Total Length: 7.6" (19.4 cm), Net Weight: 4.1 oz. (116 g)</t>
  </si>
  <si>
    <t>Sharp, durable utility knife. Used by professionals within the construction and industrial sectors for a number of different tasks. Plastic handle. Blade of cold-rolled special Swedish stainless steel. Black plastic sheath.</t>
  </si>
  <si>
    <t> Plastic handle</t>
  </si>
  <si>
    <t>Areas of Use: Carpet/roofing</t>
  </si>
  <si>
    <t>Plastic sheath</t>
  </si>
  <si>
    <t>Blade Thickness: 2.0mm, Blade Length: 63mm, Total Length: 181mm, Net Weight: 0.0880kg</t>
  </si>
  <si>
    <t>Morakniv® Classic has been developed by Mora of Sweden for over a century, and has been utilized by generations of carpenters and wood carvers.  The tradition can be explained by the knives being pleasant to work with and having just the right feel. A reliable knife that has a given place among the tools of a handcrafter. Also used to a great extent by carpenters. Classic wood-splitting knife with carbon steelblade.</t>
  </si>
  <si>
    <t xml:space="preserve">Blade Thickness: 2.5mm, Blade Length: 114mm, Total Length: 368mm, Net Weight: 0.1540kg,  </t>
  </si>
  <si>
    <t>Oiled birchwood handle</t>
  </si>
  <si>
    <t>Hook knife for spoon carving. Single-edged. Carbon steel blade. Oiled birchwood handle. Blade length 52 mm. Internal radius 12 mm. Comes without a sheath.</t>
  </si>
  <si>
    <t xml:space="preserve">Blade Thickness: 2.5mm, Blade Length: 50mm, Total Length: 159mm, Net Weight: 0.0590kg
</t>
  </si>
  <si>
    <t>Morakniv® Classic has been developed by Mora of Sweden for over a century, and has been utilized by generations of carpenters and wood carvers. The tradition can be explained by the knives – with their classic red wooden handle – being pleasant to work with and having just the right feel. A reliable knife that has a given place among the tools of a handcrafter. Also used to a great extent by carpenters. Has a blade of carbon steel and a handle of red ochre birch.</t>
  </si>
  <si>
    <t>Classic wood-splitting knife with carbon steel blade</t>
  </si>
  <si>
    <t>Blade Thickness: 2.5mm, Blade Length: 114mm, Total Length: 348mm, Net Weight: 0.1510kg</t>
  </si>
  <si>
    <t>Laminated steel blade</t>
  </si>
  <si>
    <t>Sheath of vulcanized fiber</t>
  </si>
  <si>
    <t>Blade Length: 100mm</t>
  </si>
  <si>
    <t>Morakniv® Classic Original – this is what a true Morakniv® looked like before it received its characteristic red handle. The original is still going strong in its role as a functional utility knife. It has also become a collector’s item and an exclusive souvenir. This knife has an oiled birchwood handle. The knife’s laminated steel blade provides it with unsurpassable toughness and superior edge resiliency. The knife has a long lifetime and maximum sharpness. It comes with a sheath of vulcanized fiber.</t>
  </si>
  <si>
    <t>Blade Thickness: 2.0mm, Blade Length: 98mm, Total Length: 199mm, Net Weight: 0.0784kg</t>
  </si>
  <si>
    <t>Morakniv® Classic has been developed by Mora of Sweden for over a century, and has been utilized by generations of carpenters and wood carvers.  The tradition can be explained by the knives – with their classic red wooden handle – being pleasant to work with and having just the right feel.  A reliable knife that has a given place among the tools of a handcrafter. Also used to a great extent by carpenters. Has a blade of carbon steel and a handle of red ochre birch.</t>
  </si>
  <si>
    <t>Red ochre birch handle</t>
  </si>
  <si>
    <t>Blade Thickness: 2.0mm, Blade Length: 106mm, Total Length: 210mm, Net Weight: 0.0857kg</t>
  </si>
  <si>
    <t>Blade Thickness: 2.5mm, Blade Length: 152mm, Total Length: 266mm, Net Weight: 0.1270kg</t>
  </si>
  <si>
    <t>Classic knife with a longer carbon steel blade. Morakniv® Classic has been developed by Mora of Sweden for over a century, and has been utilized by generations of carpenters and wood carvers.  The tradition can be explained by the knives – with their classic red wooden handle – being pleasant to work with and having just the right feel.  A reliable knife that has a given place among the tools of a handcrafter. Also used to a great extent by carpenters. Has a blade of carbon steel and a handle of red ochre birch.</t>
  </si>
  <si>
    <t>Classic knife with carbon steel blade with a smaller blade than the Classic 2. Morakniv® Classic has been developed by Mora of Sweden for over a century, and has been utilized by generations of carpenters and wood carvers.  The tradition can be explained by the knives – with their classic red wooden handle – being pleasant to work with and having just the right feel.  A reliable knife that has a given place among the tools of a handcrafter. Also used to a great extent by carpenters. Has a blade of carbon steel and a handle of red ochre birch.</t>
  </si>
  <si>
    <t>Blade Thickness: 2.0mm, Blade Length: 98mm, Total Length: 202mm, Net Weight: 0.0820kg</t>
  </si>
  <si>
    <t>Knife with Carbon Steel blade and has double finger protection.</t>
  </si>
  <si>
    <t>Classic Knife with a carbon steel blade and double finger protection. Morakniv® Classic has been developed by Mora of Sweden for over a century, and has been utilized by generations of carpenters and wood carvers.  The tradition can be explained by the knives – with their classic red wooden handle – being pleasant to work with and having just the right feel.  A reliable knife that has a given place among the tools of a handcrafter. Also used to a great extent by carpenters. Has a blade of carbon steel and a handle of red ochre birch.</t>
  </si>
  <si>
    <t>Morakniv® Classic has been developed by Mora of Sweden for over a century, and has been utilized by generations of carpenters and wood carvers.  The tradition can be explained by the knives – with their classic red wooden handle – being pleasant to work with and having just the right feel. A reliable knife that has a given place among the tools of a handcrafter. Also used to a great extent by carpenters. Has a blade of carbon steel and a handle of red ochre birch. Classic 612 has ordinary finger protection. Birchwood handle. Carbon steel blade. Plastic sheath.</t>
  </si>
  <si>
    <t xml:space="preserve">Blade Thickness: 2.0mm, Blade Length: 106mm, Total Length: 216mm, Net Weight: 0.0780kg
</t>
  </si>
  <si>
    <t>Knife with Carbon Steel blade and has single finger protection.</t>
  </si>
  <si>
    <t>Areas of Use: Wood Carving</t>
  </si>
  <si>
    <t>Blade Thickness: 2.0mm, Blade Length: 80mm, Total Length: 192mm, Net Weight: 0.0800kg</t>
  </si>
  <si>
    <t>Our woodcarving knives are well known and appreciated precision tools that are used by wood carvers in Nusnäs, for example. This is where one of Sweden’s most recognized national symbols – the Dala Horse – is carved. Woodcarving knive with a thin blade of carbon steel. Plastic handle. Plastic sheath.</t>
  </si>
  <si>
    <t>Knife with a laminated steel blade</t>
  </si>
  <si>
    <t>Comes with a sheath.</t>
  </si>
  <si>
    <t>Our woodcarving knives are well known and appreciated precision tools that are used by wood carvers in Nusnäs, for example. This is where one of Sweden’s most recognized national symbols – the Dala Horse – is carved. Large woodcarving knife with a thin, tapered blade of laminated steel. Oiled birchwood handle. Blade length 79 mm. Comes with a sheath.</t>
  </si>
  <si>
    <t>Blade Thickness: 2.7mm, Blade Length: 79 mm, Total Length: 200mm, Net Weight: 0.0730kg</t>
  </si>
  <si>
    <t>Blade Thickness: 2.7mm, Blade Length: 60mm, Total Length: 169mm, Net Weight: 0.0690kg</t>
  </si>
  <si>
    <t>Hook knife for spoon carving with Carbon Steel Blade</t>
  </si>
  <si>
    <t>Blade Thickness: 2.5mm, Blade Length: 55mm, Total Length: 162, Net Weight: 0.0690kg</t>
  </si>
  <si>
    <t>Our woodcarving knives are well known and appreciated precision tools that are used by wood carvers in Nusnäs, for example. This is where one of Sweden’s most recognized national symbols – the Dala Horse – is carved. Hook knife for spoon carving. Double-edged. Carbon steel blade. Oiled birchwood handle. Blade length 52 mm. Internal radius 15 mm. Comes without a sheath.</t>
  </si>
  <si>
    <t>Our woodcarving knives are well known and appreciated precision tools that are used by wood carvers in Nusnäs, for example. This is where one of Sweden’s most recognized national symbols – the Dala Horse – is carved. Hook knife for spoon carving. Hook knife for spoon carving. Double-edged. Carbon steel blade. Oiled birchwood handle. Blade length 61 mm.
Internal radius 12 mm.</t>
  </si>
  <si>
    <t xml:space="preserve"> Blade length 52 mm with internal radius 15 mm</t>
  </si>
  <si>
    <t>Blade length 61 mm with internal radius 20–25 mm.</t>
  </si>
  <si>
    <t xml:space="preserve"> Blade length 52 mm with internal radius 12 mm.</t>
  </si>
  <si>
    <t>Forest</t>
  </si>
  <si>
    <t>Robust leather case</t>
  </si>
  <si>
    <t>Fine (600) diamond sharpener</t>
  </si>
  <si>
    <t>Keeps knives and axes in good shape</t>
  </si>
  <si>
    <t>A fine (600) diamond sharpener used to keep knives and axes in good shape. Comes in a robust leather case.</t>
  </si>
  <si>
    <t>Black/Red</t>
  </si>
  <si>
    <t>Plastic sheath with a belt loop</t>
  </si>
  <si>
    <t>This is an all-purpose belt knife with a 4" carbon steel blade .098" thick. You will like the feel of these. They would make great hunting, camping or utility knives for those who do not insist on traditional materials. The knife and sheath weigh about 4 1/4 ounces. Sharp, durable utility knife. Used by professionals within the construction and industrial sectors for a number of different tasks. Plastic handle. Blade of cold-rolled special Swedish stainless steel. Black plastic sheath.</t>
  </si>
  <si>
    <t>This is an all-purpose belt knife with a 4" stainless steel blade. You will like the feel of these. They would make great hunting, camping or utility knives.  Sharp, durable utility knife. Used by professionals within the construction and industrial sectors for a number of different tasks. Plastic handle. Blade of cold-rolled special Swedish stainless steel. Black plastic sheath.</t>
  </si>
  <si>
    <t>Cushioned rubber grips with integral guards</t>
  </si>
  <si>
    <t xml:space="preserve">Areas of Use: Utility </t>
  </si>
  <si>
    <t>A knife with a special stainless steel serrated edge</t>
  </si>
  <si>
    <t>Knives have ample handles that fit in your hand even when wearing gloves.</t>
  </si>
  <si>
    <t>Areas of Use: Insulation knife</t>
  </si>
  <si>
    <t>Morakniv craftsmen are construction/ specialty knives that have been developed in close collaboration with various professional categories with the construction industry. The  common denominator for specialty knives is that they are ergonomically sound, efficient and safe to use. Insulation knives have blades of cold-rolled special stainless steel  from Sandvik. A knife with a special stainless steel serrated edge.</t>
  </si>
  <si>
    <t xml:space="preserve">Morakniv craftsmen are construction/ specialty knives that have been developed in close collaboration with various professional categories with the construction industry. The  common denominator for specialty knives is that they are ergonomically sound, efficient and safe to use. Insulation knives have blades of cold-rolled special stainless steel  from Sandvik. Carpet-/roofing felt-/leatherknife with carbon steel blade.  Plastic handle designed to give maximum pulling force. </t>
  </si>
  <si>
    <t>Areas of Use: Wood Splitting</t>
  </si>
  <si>
    <t>7391846013952</t>
  </si>
  <si>
    <t>GR-1</t>
  </si>
  <si>
    <t>GR-FB</t>
  </si>
  <si>
    <t>054269000875</t>
  </si>
  <si>
    <t>054269500405</t>
  </si>
  <si>
    <t>054269000929</t>
  </si>
  <si>
    <t>GR-FBXL</t>
  </si>
  <si>
    <t>Dimensions-packed: 11.4" x 0.9" (29 cm x 2.2 cm); Dimensions-bbq area: 9.1" x 10.2" (23 cm x 26 cm); Weight: 19.8 oz. (560 g)</t>
  </si>
  <si>
    <t>P-UCA-OEM</t>
  </si>
  <si>
    <t>P-UMOUNT-OEM</t>
  </si>
  <si>
    <t>Mounts onto any standard tripod with 1/4-20 tripod socket</t>
  </si>
  <si>
    <t>Positions device at any angle</t>
  </si>
  <si>
    <t>Durable aluminum clamp body and Screw</t>
  </si>
  <si>
    <t>Attaches to round or flat objects from 0" to 1.5" thick</t>
  </si>
  <si>
    <t>Attaches to any device with a 1/4-20 mounting screw, such as Xshots, monopods, or tripods, and easily converts it into ballmount for increased adjustability.</t>
  </si>
  <si>
    <t>Magenta</t>
  </si>
  <si>
    <t>M-12141</t>
  </si>
  <si>
    <t>M-12157</t>
  </si>
  <si>
    <t>M-12158</t>
  </si>
  <si>
    <t>M-12159</t>
  </si>
  <si>
    <t>M-111-2103</t>
  </si>
  <si>
    <t>Carbon Steel</t>
  </si>
  <si>
    <t>This knife for children has ordinary finger protection.</t>
  </si>
  <si>
    <t xml:space="preserve">Carbon steel blade. </t>
  </si>
  <si>
    <t xml:space="preserve">Oiled birchwood handle. </t>
  </si>
  <si>
    <t>Blade length 75 mm.</t>
  </si>
  <si>
    <t>Plastic sheath.</t>
  </si>
  <si>
    <t>Our woodcarving knives are well known and appreciated precision tools that are used by wood carvers in Nusnäs, for example. This is where one of Sweden’s most recognized national symbols – the Dala Horse – is carved.</t>
  </si>
  <si>
    <t>M-1-0731</t>
  </si>
  <si>
    <t>Grandpa's FireGrill</t>
  </si>
  <si>
    <t>ML-SL</t>
  </si>
  <si>
    <t>ML-SL4PK</t>
  </si>
  <si>
    <t>054269001032</t>
  </si>
  <si>
    <t>054269001049</t>
  </si>
  <si>
    <t>ML-LUMORAPOD</t>
  </si>
  <si>
    <t>054269000905</t>
  </si>
  <si>
    <t>MT-POP-COUNTER</t>
  </si>
  <si>
    <t>MT-POP-FLOOR</t>
  </si>
  <si>
    <t>Fire Packages</t>
  </si>
  <si>
    <t>Box 1</t>
  </si>
  <si>
    <t>Box 2</t>
  </si>
  <si>
    <t>Box 3</t>
  </si>
  <si>
    <t xml:space="preserve">Designed for use with POV video and medium-sized high performance cameras. The UltraPod Go! Is compatible with all cameras with 1/4" 20 mount with a maximum weight of 3 pounds. At only 1.5 oz (43g) the ultralight, ultracompact, ultraversatile UltraPod GO! is perfect for extreme sports photographers and travelers on the go. </t>
  </si>
  <si>
    <t>Boron Steel</t>
  </si>
  <si>
    <t>Salt&amp;Pepper Plus™</t>
  </si>
  <si>
    <t>M-12051</t>
  </si>
  <si>
    <t>M-129-3830</t>
  </si>
  <si>
    <t>M-1-1991</t>
  </si>
  <si>
    <t xml:space="preserve">                    </t>
  </si>
  <si>
    <t>Stainless Steel</t>
  </si>
  <si>
    <t>LunchKit</t>
  </si>
  <si>
    <t>Match Case  (no matches included)</t>
  </si>
  <si>
    <t>L-AN-KIT</t>
  </si>
  <si>
    <t>L-C-STD</t>
  </si>
  <si>
    <t>L-AN-STD</t>
  </si>
  <si>
    <t xml:space="preserve">S-FK-BULK </t>
  </si>
  <si>
    <t>C-C-STD</t>
  </si>
  <si>
    <t>Salt&amp;Pepper Plus™ Plexitube</t>
  </si>
  <si>
    <t>No UPC</t>
  </si>
  <si>
    <t>7391846013907</t>
  </si>
  <si>
    <t>E-PHE2350WN</t>
  </si>
  <si>
    <t>4260149870841</t>
  </si>
  <si>
    <t>P-UP-MINI-COLOR</t>
  </si>
  <si>
    <t>Matches POP Counter Display - Assorted Matches</t>
  </si>
  <si>
    <t>Matches POP Floor Display - Assorted Matches</t>
  </si>
  <si>
    <t>Strike-on-Box Matches</t>
  </si>
  <si>
    <t>Craftline TopQ Chisel</t>
  </si>
  <si>
    <t>Craftsmen 7350 Insulation</t>
  </si>
  <si>
    <t>Classic Original 1</t>
  </si>
  <si>
    <t>Bushcraft Orange</t>
  </si>
  <si>
    <t>Bushcraft Black</t>
  </si>
  <si>
    <t>Companion Color-Mix</t>
  </si>
  <si>
    <t>Clipper 840</t>
  </si>
  <si>
    <t>Bushcraft Forest</t>
  </si>
  <si>
    <t>Forest Exclusive 277</t>
  </si>
  <si>
    <t>Fishing Comfort Scaler 150</t>
  </si>
  <si>
    <t>Fishing Comfort Scaler 098</t>
  </si>
  <si>
    <t>7331423007240</t>
  </si>
  <si>
    <t>Chile</t>
  </si>
  <si>
    <t>054269000981</t>
  </si>
  <si>
    <t>Dishwasher safe.</t>
  </si>
  <si>
    <t>The three-way design locks everything up tight, no matter how tough your trip is.</t>
  </si>
  <si>
    <t>M-121-5150</t>
  </si>
  <si>
    <t>M-121-5240</t>
  </si>
  <si>
    <t>M-141-7160</t>
  </si>
  <si>
    <t>M-129-3820</t>
  </si>
  <si>
    <t>M-121-0090</t>
  </si>
  <si>
    <t>M-121-5210</t>
  </si>
  <si>
    <t>M-121-5215</t>
  </si>
  <si>
    <t>M-121-5180</t>
  </si>
  <si>
    <t>M-121-5190</t>
  </si>
  <si>
    <t>M-128-5107</t>
  </si>
  <si>
    <t>M-128-5039</t>
  </si>
  <si>
    <t>M-129-3790</t>
  </si>
  <si>
    <t>M-129-3805</t>
  </si>
  <si>
    <t>M-129-3855</t>
  </si>
  <si>
    <t>M-129-3990</t>
  </si>
  <si>
    <t>M-129-3940</t>
  </si>
  <si>
    <t>M-129-3960</t>
  </si>
  <si>
    <t>M-129-3980</t>
  </si>
  <si>
    <t>M-129-4020</t>
  </si>
  <si>
    <t>Gutting Spoon 302P</t>
  </si>
  <si>
    <t>Gutting Hook 351P</t>
  </si>
  <si>
    <t>Roeing &amp; Bleeding Knife 950P</t>
  </si>
  <si>
    <t>Bait Knife 9106UG</t>
  </si>
  <si>
    <t>M-11460</t>
  </si>
  <si>
    <t>M-12160</t>
  </si>
  <si>
    <t>M-129-40520</t>
  </si>
  <si>
    <t>M-129-40960</t>
  </si>
  <si>
    <t>M-138-6820</t>
  </si>
  <si>
    <t>M-138-6810</t>
  </si>
  <si>
    <t>M-11184</t>
  </si>
  <si>
    <t>Chef's Knife 4216PG</t>
  </si>
  <si>
    <t>Bread Knife 3214PG</t>
  </si>
  <si>
    <t>Paring Knife 4085PAM</t>
  </si>
  <si>
    <t>Vegetable Knife 4118PAM</t>
  </si>
  <si>
    <t>Wide Butcher Knife 7250UG</t>
  </si>
  <si>
    <t>Sharpeners</t>
  </si>
  <si>
    <t>M-11968</t>
  </si>
  <si>
    <t>M-161-5900</t>
  </si>
  <si>
    <t>Hoof Care</t>
  </si>
  <si>
    <t>M-109-1980</t>
  </si>
  <si>
    <t>M-109-1940</t>
  </si>
  <si>
    <t>Designed for right-handed users.</t>
  </si>
  <si>
    <t>Efficient, easy to work with and can be honed.</t>
  </si>
  <si>
    <t>Wood handle.</t>
  </si>
  <si>
    <t>Property: Medium-Flex</t>
  </si>
  <si>
    <t>Weight: 6.1 oz. (172 g)</t>
  </si>
  <si>
    <t>Efficient, easy to work with and can be honed. Plastic handle.</t>
  </si>
  <si>
    <t>Plastic handle.</t>
  </si>
  <si>
    <t>Steel: Carbon</t>
  </si>
  <si>
    <t>Weight: 2.7 oz. (77 g)</t>
  </si>
  <si>
    <t>Sharpening Steel Round P207-7</t>
  </si>
  <si>
    <t>A small sharpener with a flat and a rounded site together with a small groove for sharpening knife blades or fishing hooks.
site together with a small groove for</t>
  </si>
  <si>
    <t>Rod Length: 2.1"</t>
  </si>
  <si>
    <t>Weight: 0.4 oz. (11 g)</t>
  </si>
  <si>
    <t>Slip-resistant handle is reinforced with glassfiber for increased friction.</t>
  </si>
  <si>
    <t>Length: 5.9"</t>
  </si>
  <si>
    <t>Thickness: 0.08"</t>
  </si>
  <si>
    <t>Steel: Stainless</t>
  </si>
  <si>
    <t>Weight: 4.5 oz. (128 g)</t>
  </si>
  <si>
    <t>Length: 4.6"</t>
  </si>
  <si>
    <t>Weight: 4.2 oz. (119 g)</t>
  </si>
  <si>
    <t>Gutting Knife 299 with Spoon and wood handle.</t>
  </si>
  <si>
    <t>Blade of Swedish Sandvik 12C27 stainless knife steel for extreme sharpness and high-edge retention.</t>
  </si>
  <si>
    <t>Blade hardened by deep refrigeration at -80° for maximum hardness (58 RC).</t>
  </si>
  <si>
    <t>Double-molded, rubber handle with an etched structure.</t>
  </si>
  <si>
    <t>Suitable for wet conditions.</t>
  </si>
  <si>
    <t>Used for fish, beef, and game.</t>
  </si>
  <si>
    <t>Polyamide handle with high-friction characteristics unaffected by fats or humidity. Recommended for pork or lamb processing.</t>
  </si>
  <si>
    <t>Knife Blanks</t>
  </si>
  <si>
    <t>M-191-2334</t>
  </si>
  <si>
    <t>M-191-2333</t>
  </si>
  <si>
    <t>M-191-2343</t>
  </si>
  <si>
    <t>M-191-2313</t>
  </si>
  <si>
    <t>M-191-2363</t>
  </si>
  <si>
    <t>M-191-2423</t>
  </si>
  <si>
    <t>M-191-250062</t>
  </si>
  <si>
    <t>M-191-2603</t>
  </si>
  <si>
    <t>M-191-2722</t>
  </si>
  <si>
    <t>Knife Blade No. 1 Stainless</t>
  </si>
  <si>
    <t>Thickness: 0.1" (2.5 mm)</t>
  </si>
  <si>
    <t>7391846007463</t>
  </si>
  <si>
    <t>7391846007975</t>
  </si>
  <si>
    <t>7391846004912</t>
  </si>
  <si>
    <t>7391846009931</t>
  </si>
  <si>
    <t>7391846005681</t>
  </si>
  <si>
    <t>7391846007630</t>
  </si>
  <si>
    <t>7391846009979</t>
  </si>
  <si>
    <t>7391846007951</t>
  </si>
  <si>
    <t>7391846007982</t>
  </si>
  <si>
    <t>7391846008040</t>
  </si>
  <si>
    <t>7391846008279</t>
  </si>
  <si>
    <t>7391846005971</t>
  </si>
  <si>
    <t>7391846008262</t>
  </si>
  <si>
    <t>7391846008286</t>
  </si>
  <si>
    <t>7391846008309</t>
  </si>
  <si>
    <t>7391846008330</t>
  </si>
  <si>
    <t>7391846008361</t>
  </si>
  <si>
    <t>7391846008354</t>
  </si>
  <si>
    <t>7391846007296</t>
  </si>
  <si>
    <t>Length: 2.0" (50 mm)</t>
  </si>
  <si>
    <t>Weight: 3.1 oz. (88 g)</t>
  </si>
  <si>
    <t>Property: Stiff</t>
  </si>
  <si>
    <t>FUCHSIA</t>
  </si>
  <si>
    <t>LIME</t>
  </si>
  <si>
    <t>SPIRIT</t>
  </si>
  <si>
    <t>S-FL-KIT</t>
  </si>
  <si>
    <t>FU-ORG</t>
  </si>
  <si>
    <t>7331423008612</t>
  </si>
  <si>
    <t>7331423008605</t>
  </si>
  <si>
    <t>Lime &amp; Cyan</t>
  </si>
  <si>
    <t>Spirit</t>
  </si>
  <si>
    <t>7331423008629</t>
  </si>
  <si>
    <t>7331423008599</t>
  </si>
  <si>
    <t>Grandpa’s FireGrill™</t>
  </si>
  <si>
    <t>Adjustable height for use with most food.</t>
  </si>
  <si>
    <t>The wire mechanism attaches the grill securely to a stick and it can be locked in place when folded out and used as a gridiron.</t>
  </si>
  <si>
    <t>No need to cut fresh branches—attaches to practically any stick.</t>
  </si>
  <si>
    <t>7331423007615</t>
  </si>
  <si>
    <t>7331423008223</t>
  </si>
  <si>
    <t>7331423008247</t>
  </si>
  <si>
    <t>7331423008193</t>
  </si>
  <si>
    <t>7331423007608</t>
  </si>
  <si>
    <t>7331423008216</t>
  </si>
  <si>
    <t>S-PD-KIT</t>
  </si>
  <si>
    <t>CY-LI</t>
  </si>
  <si>
    <t>7331423008667</t>
  </si>
  <si>
    <t>7331423008674</t>
  </si>
  <si>
    <t>7331423008520</t>
  </si>
  <si>
    <t>7331423008537</t>
  </si>
  <si>
    <t>GR-BLK</t>
  </si>
  <si>
    <t>Pack-Up Drink kit™</t>
  </si>
  <si>
    <t>Pack’n Eat kit™</t>
  </si>
  <si>
    <t>Eat out in style! What you need to share a meal with a friend.</t>
  </si>
  <si>
    <t>Green &amp; Black</t>
  </si>
  <si>
    <t>S-PE-KIT</t>
  </si>
  <si>
    <t>7331423008315</t>
  </si>
  <si>
    <t>7331423008650</t>
  </si>
  <si>
    <t>Fuchsia &amp; Cyan</t>
  </si>
  <si>
    <t>LI-GRN</t>
  </si>
  <si>
    <t>FU-CY</t>
  </si>
  <si>
    <t>S-SP-XM-2PK</t>
  </si>
  <si>
    <t>Black &amp; Orange</t>
  </si>
  <si>
    <t>BLK-ORG</t>
  </si>
  <si>
    <t>Lime &amp; Green</t>
  </si>
  <si>
    <t>ML-ARKA-EU</t>
  </si>
  <si>
    <t>ML-ARKA-POP</t>
  </si>
  <si>
    <t>054269001001</t>
  </si>
  <si>
    <t>P-UP1-QR</t>
  </si>
  <si>
    <t>P-UP2-QR</t>
  </si>
  <si>
    <t>Magnetic mount, with 50 lb. pull, securely attaches to magnetic surfaces.</t>
  </si>
  <si>
    <t>Positions device at any angle.</t>
  </si>
  <si>
    <t>Fits any device with a 1/4-20 tripod socket.</t>
  </si>
  <si>
    <t>Ideal for use with small cameras, camcorders, optic scopes, etc.</t>
  </si>
  <si>
    <t>Injection-molded, glass-reinforced nylon thermoplastic resin clamp head and knobs allow years of use.</t>
  </si>
  <si>
    <t>E-POP-1</t>
  </si>
  <si>
    <t>Includes 18 each of: Pocket Stove, Small w/ 6 Solid Fuel tablets (E-STOVE-6X14). Solid Fuel, 12x14 g (E-FUEL-12X14)</t>
  </si>
  <si>
    <t>M-12281</t>
  </si>
  <si>
    <t>M-12280</t>
  </si>
  <si>
    <t>M-113-3515</t>
  </si>
  <si>
    <t>M-11453</t>
  </si>
  <si>
    <t>S-SP-L-2PK</t>
  </si>
  <si>
    <t>Propylene handle.</t>
  </si>
  <si>
    <t>Double-molded, rubber handle with an etched structure</t>
  </si>
  <si>
    <t>Blade hardened by means of deep refrigeration at -80° for maximum hardness (58 RC).</t>
  </si>
  <si>
    <t>Handle of polyamide with a microblasted structure for optimum friction.</t>
  </si>
  <si>
    <t>Weight: 8.3 oz. (236 g)</t>
  </si>
  <si>
    <t>Weight: 2.2 oz. (62 g)</t>
  </si>
  <si>
    <t>Weight: 2.3 oz. (65 g)</t>
  </si>
  <si>
    <t>Keep knives sharp and ready with this handy sharpening steel.</t>
  </si>
  <si>
    <t>Weight: 6.2 oz. (175 g)</t>
  </si>
  <si>
    <t>Comfortable handle and long steel rod make sharpening knives quick and easy.</t>
  </si>
  <si>
    <t>Propylene handle with gutting spoon.</t>
  </si>
  <si>
    <t>Weight: 3.1 oz</t>
  </si>
  <si>
    <t>Thickness: 0.1"</t>
  </si>
  <si>
    <t>Weight: 5.0 oz. (142 g)</t>
  </si>
  <si>
    <t>4260149870674</t>
  </si>
  <si>
    <t>7316220000908</t>
  </si>
  <si>
    <t>Wood</t>
  </si>
  <si>
    <t>Scandinavian Trimming 7215PG</t>
  </si>
  <si>
    <t>Black Progrip handle</t>
  </si>
  <si>
    <t>7391846014348</t>
  </si>
  <si>
    <t>7391846003632</t>
  </si>
  <si>
    <t>7391846012375</t>
  </si>
  <si>
    <t>Morakniv®</t>
  </si>
  <si>
    <t>P-MAGMT</t>
  </si>
  <si>
    <t>7331423008353</t>
  </si>
  <si>
    <t>7331423008377</t>
  </si>
  <si>
    <t>7331423008391</t>
  </si>
  <si>
    <t>7331423008384</t>
  </si>
  <si>
    <t>7331423008407</t>
  </si>
  <si>
    <t>Fits inside a MealKit or LunchKit.</t>
  </si>
  <si>
    <t>S-CB3PK</t>
  </si>
  <si>
    <t>Ideal for pot stirring, burger flipping, salad serving, etc.</t>
  </si>
  <si>
    <t>Durable and heat resistant.</t>
  </si>
  <si>
    <t>S-FFORK-2PK</t>
  </si>
  <si>
    <t>Curved points hold food firmly—also works well as a fire poker.</t>
  </si>
  <si>
    <t>Made from a single stainless steel wire.</t>
  </si>
  <si>
    <t>Safety cap for easy storage.</t>
  </si>
  <si>
    <t>Hole for cord in safety cap.</t>
  </si>
  <si>
    <t>Lime</t>
  </si>
  <si>
    <t>Fuchsia</t>
  </si>
  <si>
    <t>S-SPCASE2</t>
  </si>
  <si>
    <t>Sporks’n Case™</t>
  </si>
  <si>
    <t>Trans. Blue &amp; Cyan</t>
  </si>
  <si>
    <t>Trans. Pink &amp; Fuchsia</t>
  </si>
  <si>
    <t>Trans. Green &amp; Green</t>
  </si>
  <si>
    <t>Trans. Orange &amp; Orange</t>
  </si>
  <si>
    <t>Lime &amp; Purple</t>
  </si>
  <si>
    <t>S-SP-2PK</t>
  </si>
  <si>
    <t>054269001209</t>
  </si>
  <si>
    <t>054269001230</t>
  </si>
  <si>
    <t>ML-SL2PK</t>
  </si>
  <si>
    <t>054269001247</t>
  </si>
  <si>
    <t>054269001254</t>
  </si>
  <si>
    <t>M-11870</t>
  </si>
  <si>
    <t>7391846015307</t>
  </si>
  <si>
    <t>A-C-STD</t>
  </si>
  <si>
    <t>F-SS-PT</t>
  </si>
  <si>
    <t>054269001223</t>
  </si>
  <si>
    <t>ML-SL2PK-RGB</t>
  </si>
  <si>
    <t>054269001278</t>
  </si>
  <si>
    <t>054269001193</t>
  </si>
  <si>
    <t>A-CA30PK-B-AMZ</t>
  </si>
  <si>
    <t>A-CA30PK-C-AMZ</t>
  </si>
  <si>
    <t>L-CA20PK-AMZ</t>
  </si>
  <si>
    <t>L-CA20PK-C-AMZ</t>
  </si>
  <si>
    <t>L-CA20PK-B-AMZ</t>
  </si>
  <si>
    <t>054269001179</t>
  </si>
  <si>
    <t>054269001094</t>
  </si>
  <si>
    <t>054269001117</t>
  </si>
  <si>
    <t>054269001131</t>
  </si>
  <si>
    <t>US</t>
  </si>
  <si>
    <t>100% natural beeswax formula (non-paraffin based)</t>
  </si>
  <si>
    <t>Bushcraft Black SRT</t>
  </si>
  <si>
    <t>GR-4</t>
  </si>
  <si>
    <t>054269001261</t>
  </si>
  <si>
    <t>ML-TETRA</t>
  </si>
  <si>
    <t>054269001216</t>
  </si>
  <si>
    <t>7331423009169</t>
  </si>
  <si>
    <t xml:space="preserve">M-11859 </t>
  </si>
  <si>
    <t>7391846010630</t>
  </si>
  <si>
    <t>M-11732</t>
  </si>
  <si>
    <t>Morakniv 510</t>
  </si>
  <si>
    <t>7391846012306</t>
  </si>
  <si>
    <t>M-11529</t>
  </si>
  <si>
    <t>7391846003687</t>
  </si>
  <si>
    <t>Morakniv Equus hoof trimming knives and farrier’s knives have been developed in close collaboration with blacksmiths and veterinarians. Efficient, easy to work with and can be honed.</t>
  </si>
  <si>
    <t>7316220019801</t>
  </si>
  <si>
    <t>Military Green</t>
  </si>
  <si>
    <t>Colorful Products in Display</t>
  </si>
  <si>
    <t>S-CPID-FSSC2</t>
  </si>
  <si>
    <t>S-CPID-FFORK</t>
  </si>
  <si>
    <t>S-CPID-SPORKLITTLE</t>
  </si>
  <si>
    <t>S-CPID-TITANIUM</t>
  </si>
  <si>
    <t>S-CPID-SPORK</t>
  </si>
  <si>
    <t xml:space="preserve">Knives have been made in Mora since the 17th century and our knives have been ending up into the hands of people all over the world. Our knives are manufactured in Mora, Sweden, giving Mora of Sweden total control of production and quality. A Morakniv® is extremely sharp and has a sharpness that lasts. Our knives always utilize high-quality knife steel that is optimally adapted to the task for which the knife is intended at prices that make sense. </t>
  </si>
  <si>
    <t>M-1-0002.SB</t>
  </si>
  <si>
    <t>M-12090</t>
  </si>
  <si>
    <t>M-12092</t>
  </si>
  <si>
    <t>M-12154</t>
  </si>
  <si>
    <t>M-12210</t>
  </si>
  <si>
    <t>M-12211</t>
  </si>
  <si>
    <t>M-12213</t>
  </si>
  <si>
    <t>M-12214</t>
  </si>
  <si>
    <t>M-12215</t>
  </si>
  <si>
    <t>RED-PINK</t>
  </si>
  <si>
    <t>A-LTN-STD</t>
  </si>
  <si>
    <t>054269001063</t>
  </si>
  <si>
    <t>054269001292</t>
  </si>
  <si>
    <t>RASPBERRY</t>
  </si>
  <si>
    <t>Dimming switch adjusts 3 lighting modes from high to low light to S.O.S. emergency strobe.</t>
  </si>
  <si>
    <t>S-FP-ADV-FLOOR</t>
  </si>
  <si>
    <t>FirePackage Adventure, Floor</t>
  </si>
  <si>
    <t>Thickness 2mm</t>
  </si>
  <si>
    <t>Thickness 3mm</t>
  </si>
  <si>
    <t>Thickness 2.5mm</t>
  </si>
  <si>
    <t>Thickness 2.7mm</t>
  </si>
  <si>
    <t>Blade Length 3.9"</t>
  </si>
  <si>
    <t>Blade Length 4.3"</t>
  </si>
  <si>
    <t>Blade Length 4"</t>
  </si>
  <si>
    <t>Blade Length 3"</t>
  </si>
  <si>
    <t>Blade Length 5.9"</t>
  </si>
  <si>
    <t>Blade Length 3.2"</t>
  </si>
  <si>
    <t>Blade Length 4.5"</t>
  </si>
  <si>
    <t>Blade Length 2.3"</t>
  </si>
  <si>
    <t>Blade Length 3.7"</t>
  </si>
  <si>
    <t>Weight  1.4 oz.</t>
  </si>
  <si>
    <t>Weight 1.3 oz.</t>
  </si>
  <si>
    <t>Weight 1.7 oz.</t>
  </si>
  <si>
    <t xml:space="preserve"> Weight 2.1 oz.</t>
  </si>
  <si>
    <t>Weight 1.5 oz.</t>
  </si>
  <si>
    <t>Weight 1.1 oz.</t>
  </si>
  <si>
    <t>Weight 2.7 oz.</t>
  </si>
  <si>
    <t>Weight 2.3 oz.</t>
  </si>
  <si>
    <t>Weight 4.2 oz.</t>
  </si>
  <si>
    <t>Full length with tang is 7"</t>
  </si>
  <si>
    <t>Full length with tang is 7.75"</t>
  </si>
  <si>
    <t>Full length with tang is 7.25"</t>
  </si>
  <si>
    <t>Full length with tang is 6.5"</t>
  </si>
  <si>
    <t>Full length with tang is 10.5"</t>
  </si>
  <si>
    <t>Full length with tang is 8"</t>
  </si>
  <si>
    <t>054269001339</t>
  </si>
  <si>
    <t>F-SS-QT</t>
  </si>
  <si>
    <t>054269001346</t>
  </si>
  <si>
    <t>054269001353</t>
  </si>
  <si>
    <t>054269001360</t>
  </si>
  <si>
    <t>BLUEBERRY</t>
  </si>
  <si>
    <t>F-SS-PT-LLB</t>
  </si>
  <si>
    <t>F-SS-QT-LLB</t>
  </si>
  <si>
    <t>M-109-1910</t>
  </si>
  <si>
    <t>M-109-1920</t>
  </si>
  <si>
    <t>M-109-1930</t>
  </si>
  <si>
    <t>M-109-1950</t>
  </si>
  <si>
    <t>Equus Farrier's 171LH Narrow</t>
  </si>
  <si>
    <t>Equus Farrier's 171RH Narrow</t>
  </si>
  <si>
    <t>Equus Farrier's 180LH Wide</t>
  </si>
  <si>
    <t>Equus Farrier's 188 Double Edge</t>
  </si>
  <si>
    <t>7316220019108</t>
  </si>
  <si>
    <t>7316220019207</t>
  </si>
  <si>
    <t>7316220019306</t>
  </si>
  <si>
    <t>7316220019504</t>
  </si>
  <si>
    <t>M-12309</t>
  </si>
  <si>
    <t>M-12310</t>
  </si>
  <si>
    <t>M-12311</t>
  </si>
  <si>
    <t>7391846015666</t>
  </si>
  <si>
    <t>7391846015581</t>
  </si>
  <si>
    <t>7391846015628</t>
  </si>
  <si>
    <t>M-12312</t>
  </si>
  <si>
    <t>M-12313</t>
  </si>
  <si>
    <t>M-12314</t>
  </si>
  <si>
    <t>M-12315</t>
  </si>
  <si>
    <t>7391846015703</t>
  </si>
  <si>
    <t>7391846015543</t>
  </si>
  <si>
    <t>7391846015680</t>
  </si>
  <si>
    <t>7391846015604</t>
  </si>
  <si>
    <t>M-12316</t>
  </si>
  <si>
    <t>M-12317</t>
  </si>
  <si>
    <t>M-12318</t>
  </si>
  <si>
    <t>7391846015642</t>
  </si>
  <si>
    <t>7391846015727</t>
  </si>
  <si>
    <t>7391846015567</t>
  </si>
  <si>
    <t>M-12422</t>
  </si>
  <si>
    <t>M-12423</t>
  </si>
  <si>
    <t>7391846015741</t>
  </si>
  <si>
    <t>7391846015758</t>
  </si>
  <si>
    <t>M-11934</t>
  </si>
  <si>
    <t>Original 1</t>
  </si>
  <si>
    <t>M-12147</t>
  </si>
  <si>
    <t>M-12241</t>
  </si>
  <si>
    <t>M-12244</t>
  </si>
  <si>
    <t>M-12243</t>
  </si>
  <si>
    <t>M-12242</t>
  </si>
  <si>
    <t>M-12250</t>
  </si>
  <si>
    <t>M-12201</t>
  </si>
  <si>
    <t>M-12245</t>
  </si>
  <si>
    <t>M-12247</t>
  </si>
  <si>
    <t>M-12249</t>
  </si>
  <si>
    <t>M-12248</t>
  </si>
  <si>
    <t>Basic 511</t>
  </si>
  <si>
    <t>Basic 546</t>
  </si>
  <si>
    <t>Safe</t>
  </si>
  <si>
    <t>Pro C</t>
  </si>
  <si>
    <t>Pro S</t>
  </si>
  <si>
    <t>Chisel</t>
  </si>
  <si>
    <t>Electrician</t>
  </si>
  <si>
    <t>Rope</t>
  </si>
  <si>
    <t>Precision</t>
  </si>
  <si>
    <t>Robust</t>
  </si>
  <si>
    <t>Flex</t>
  </si>
  <si>
    <t>M-121-5070</t>
  </si>
  <si>
    <t>M-128-5617</t>
  </si>
  <si>
    <t>Wide Butcher Knife 7145UG</t>
  </si>
  <si>
    <t>M-128-5717</t>
  </si>
  <si>
    <t>M-121-5090</t>
  </si>
  <si>
    <t>M-121-5020</t>
  </si>
  <si>
    <t>M-1-0149</t>
  </si>
  <si>
    <t>M-1-0147</t>
  </si>
  <si>
    <t>M-121-5030</t>
  </si>
  <si>
    <t>M-121-5060</t>
  </si>
  <si>
    <t>M-11182</t>
  </si>
  <si>
    <t>M-11183</t>
  </si>
  <si>
    <t>M-12492</t>
  </si>
  <si>
    <t>M-12356</t>
  </si>
  <si>
    <t>M-12490</t>
  </si>
  <si>
    <t>M-12417</t>
  </si>
  <si>
    <t>M-12294</t>
  </si>
  <si>
    <t>M-12295</t>
  </si>
  <si>
    <t>M-12355</t>
  </si>
  <si>
    <t>7391846016212</t>
  </si>
  <si>
    <t>7391846015253</t>
  </si>
  <si>
    <t>7391846016274</t>
  </si>
  <si>
    <t>7391846015390</t>
  </si>
  <si>
    <t>M-12494</t>
  </si>
  <si>
    <t>M-12495</t>
  </si>
  <si>
    <t>M-12208</t>
  </si>
  <si>
    <t>M-12207</t>
  </si>
  <si>
    <t>7391846014546</t>
  </si>
  <si>
    <t>7391846014522</t>
  </si>
  <si>
    <t>7391846015024</t>
  </si>
  <si>
    <t>M-12475</t>
  </si>
  <si>
    <t>7391846015352</t>
  </si>
  <si>
    <t>L-C-VPUCO</t>
  </si>
  <si>
    <t>MT-TSM-CONT</t>
  </si>
  <si>
    <t>MT-TSM1</t>
  </si>
  <si>
    <t>054269001315</t>
  </si>
  <si>
    <t>054269001308</t>
  </si>
  <si>
    <t>ML-ALKI</t>
  </si>
  <si>
    <t>054269001438</t>
  </si>
  <si>
    <t>E-FJ750SP-BR</t>
  </si>
  <si>
    <t>E-FJ750SP-GO</t>
  </si>
  <si>
    <t>E-VF1000DW-BG</t>
  </si>
  <si>
    <t>E-VF1000DW-BR</t>
  </si>
  <si>
    <t>E-VF1000DW-GO</t>
  </si>
  <si>
    <t>S-P-GRILLNCHILL</t>
  </si>
  <si>
    <t>Original</t>
  </si>
  <si>
    <t>Original Value Pack</t>
  </si>
  <si>
    <t>Original Kit</t>
  </si>
  <si>
    <t>Duo (LED + Original)</t>
  </si>
  <si>
    <t>Anodized Red</t>
  </si>
  <si>
    <t>Anodized Green</t>
  </si>
  <si>
    <t>Anodized Black</t>
  </si>
  <si>
    <t>Bullet #6 (Highlight Features)</t>
  </si>
  <si>
    <t>Bullet #7 (Highlight Features)</t>
  </si>
  <si>
    <t>Bullet #8 (Highlight Features)</t>
  </si>
  <si>
    <t>Lantern collapses down to 4.25"</t>
  </si>
  <si>
    <t>Lightweight, durable aluminum construction</t>
  </si>
  <si>
    <t>Burns long-lasting UCO 9-hour candle</t>
  </si>
  <si>
    <t>Easy-slide glass chimney, spring-loaded candle tube, and viewing slot</t>
  </si>
  <si>
    <t xml:space="preserve">Carrying handle, hanging hook, and twist-lock base </t>
  </si>
  <si>
    <t>Provides ample light, warms surroundings, and helps remove condensation</t>
  </si>
  <si>
    <t>Chase away the chill with this lightweight, collapsible Original Candle Lantern. This trusted, time-tested lantern fights dampness and brightens up camp or the backyard. Ideal for backpacking, mountaineering, snow camping and other outdoor pursuits, this classic lantern provides cozy heat and natural light for up to 9 hours (per candle). Surrounded by a sturdy metal frame and a glass chimney, the candle is lit in a flash—slide the chimney down and light the exposed wick. As the candle burns, the spring-powered tube pushes the candle up for a reliable, constant flame. Monitor the candle for remaining burn time through the viewing slot on the side of the lantern.</t>
  </si>
  <si>
    <t>Durable brass construction</t>
  </si>
  <si>
    <t>L-A-VPUCO</t>
  </si>
  <si>
    <t>L-B-VPUCO</t>
  </si>
  <si>
    <t>Fleece bag stores the lantern and candles</t>
  </si>
  <si>
    <t>Grab the Value Pack and start your adventure! The pack includes the Original Candle Lantern™ and a 3-pack of UCO 9-hour candles stored in a convenient fleece bag.</t>
  </si>
  <si>
    <t>Side reflector clips on easily and directs light to one side</t>
  </si>
  <si>
    <t>Neoprene Cocoon slides on easily and helps prevent scratches, dents and breakage</t>
  </si>
  <si>
    <t>Protect your lantern and fine-tune the glow with this Original Candle Lantern Kit. The kit includes the Original Candle Lantern, a side reflector to direct light, and a Cocoon™ to help prevent scratches, dents and glass breakage during storage and transport.</t>
  </si>
  <si>
    <t>Constructed of lightweight, durable aluminum</t>
  </si>
  <si>
    <t>Glass chimney, carrying handle, and twist-lock vented base</t>
  </si>
  <si>
    <t>The Mini Candle Lantern is a safe and convenient source of light and warmth both outdoors and in. Lightweight and fueled by a tealight candle, it’s ideal for ultralight hiking, bike touring and world travel, as well as a handy light to use around the home.</t>
  </si>
  <si>
    <t>Provides up to 40 hours of LED light (two CR2032 batteries included)</t>
  </si>
  <si>
    <t>Lantern collapses down to 4.75"</t>
  </si>
  <si>
    <t>Want the warm glow of a long-burning candle but crave the security of modern technology? Say hello to your new favorite lantern. A smaller-than-your-palm, battery-powered LED flashlight fits conveniently into the base of this UCO Original Candle Lantern and can work separately from the lantern. Pop out the LED flashlight with its tabletop stand and use it to illuminate a task or your favorite novel. The candle burns up to 9 hours while the batteries for the LED flashlight will last up to 40 hours.</t>
  </si>
  <si>
    <t>Lantern collapses down to 2.5"</t>
  </si>
  <si>
    <t>Glass chimney, carrying handle, hanging hook, and twist-lock base</t>
  </si>
  <si>
    <t>Additional tealight candle stored inside base</t>
  </si>
  <si>
    <t>For a warm glow of candlelight around the campsite, pack this cleverly compact Micro Candle Lantern. Its feather light, fuss free and fueled by a tealight candle with an extra stored in the lantern’s base. Weighing far less than the smartphone in your pocket, you’ll hardly notice the smarter source of light and warmth you’ve stashed in your pack.</t>
  </si>
  <si>
    <t>Heats small amounts of water or food on heat shield</t>
  </si>
  <si>
    <t>Burns long-lasting UCO 9-hour candle; burn 1,2, or all 3 candles depending on your lighting needs</t>
  </si>
  <si>
    <t>Glass chimney and three spring-loaded candle tubes with viewing slots</t>
  </si>
  <si>
    <t>Carrying handle and twist-lock base</t>
  </si>
  <si>
    <t>Need more lumens? Amp up the brightness and fend off chill with the UCO Candlelier Candle Lantern. Sporting three UCO 9-hour candles, this brilliant source of heat and light is perfect for large groups of campers and for home and emergency use. Brighten up your next family picnic plus keep your coffee hot, too. Just place your mug or cooking pot on the heat shield and—voila! The Candlelier cleverly heats small amounts of water or food while providing a warm, ambient glow to your campsite or porch.</t>
  </si>
  <si>
    <t>9-Hour Candles, Bulk</t>
  </si>
  <si>
    <t>9-Hour Candles, 3-Pack</t>
  </si>
  <si>
    <t>Citronella Candles, 3-Pack</t>
  </si>
  <si>
    <t>Beeswax Candles, 3-Pack</t>
  </si>
  <si>
    <t>4-Hour Tealight Candles, 6-pack</t>
  </si>
  <si>
    <t>Citronella Tealight Candles, 6-pack</t>
  </si>
  <si>
    <t xml:space="preserve">Beeswax Tealight Candles, 3-pack </t>
  </si>
  <si>
    <t>Beeswax Tealights, 30-pack</t>
  </si>
  <si>
    <t>Citronella Tealights, 30-pack</t>
  </si>
  <si>
    <t>9-Hour Candles, 20-pack</t>
  </si>
  <si>
    <t>Citronella Candles, 20-pack</t>
  </si>
  <si>
    <t>Beeswax Candles, 20-pack</t>
  </si>
  <si>
    <t>Burns 9+ hours per candle</t>
  </si>
  <si>
    <t>Special wax formula optimized for use in UCO Candle Lanterns</t>
  </si>
  <si>
    <t>High-melt temperature minimizes dripping</t>
  </si>
  <si>
    <t>Special wick provides ideal flame</t>
  </si>
  <si>
    <t>Produces heat to warm tent and reduce condensation</t>
  </si>
  <si>
    <t>Economical source of light</t>
  </si>
  <si>
    <t>The trusty candle just got better. We’ve developed and designed our 9-hour candles by fine-tuning the wick size and the wax formula to optimize burn time and reduce soot build-up in candle lanterns. Enjoy more light, longer.</t>
  </si>
  <si>
    <r>
      <t xml:space="preserve">For use in Original Candle Lantern™, Original Candle Lantern + LED™ and </t>
    </r>
    <r>
      <rPr>
        <sz val="10"/>
        <color rgb="FF262626"/>
        <rFont val="Arial"/>
        <family val="2"/>
      </rPr>
      <t>Candlelier® Candle Lanterns or for use in a candle holder.</t>
    </r>
  </si>
  <si>
    <t>Citronella oil is mixed into the paraffin</t>
  </si>
  <si>
    <t xml:space="preserve">Create a bit of cozy with UCO’s citronella-infused paraffin candles. Long-lasting and easy to pack, they also emit a sweet scent that infuses the air and refreshes your senses after a full day of outdoor adventure! So, light up the lantern and create a relaxing, welcome source of heat, light and a soothing scent. </t>
  </si>
  <si>
    <t>Burns 12+ hours per candle</t>
  </si>
  <si>
    <t>100% natural beeswax formula (non-paraffin based) is optimized for use in UCO Candle Lanterns</t>
  </si>
  <si>
    <t>Special cotton wick provides ideal flame</t>
  </si>
  <si>
    <t>Our 100% natural beeswax candles burn longer and cleaner than wax candles, delivering 12+ hours of burn time, with less smoke and a naturally sweet aroma. The cotton wick and the wax formula optimize burn time and reduce soot build-up. Enjoy cleaner light, longer.</t>
  </si>
  <si>
    <r>
      <t xml:space="preserve">For use in Original Candle Lantern™, Original Candle Lantern + LED™ and </t>
    </r>
    <r>
      <rPr>
        <sz val="10"/>
        <color rgb="FF262626"/>
        <rFont val="Arial"/>
        <family val="2"/>
      </rPr>
      <t>Candlelier® Candle Lanterns or for use in a candle holder. Made in the USA</t>
    </r>
  </si>
  <si>
    <t>Burns 4-5 hours per tealight candle</t>
  </si>
  <si>
    <t>6 candles per pack</t>
  </si>
  <si>
    <t>Not just for mood lighting anymore, tealights have been re-discovered as tiny powerhouses of heat and light. Lightweight, inexpensive and easy to store, they deliver high-quality light and heat and are available worldwide. We’ve developed UCO Mini and Micro Candle Lanterns for use with tealight candles. Burn time is 4-5 hours per candle with a total of 24-30 hours of light per 6-pack of candles.</t>
  </si>
  <si>
    <t>For use in Mini Candle Lantern™ and Micro Candle Lantern™ or for use in a tealight candle holder. Made in the USA.</t>
  </si>
  <si>
    <r>
      <t>Not just for mood lighting anymore, tealights have been re-discovered as tiny powerhouses of heat and light. Lightweight, inexpensive and easy to pack, they deliver high-quality light and heat and are available worldwid</t>
    </r>
    <r>
      <rPr>
        <sz val="10"/>
        <color rgb="FF262626"/>
        <rFont val="Arial"/>
        <family val="2"/>
      </rPr>
      <t>e. These citronella tealight candles emit a sweet scent that infuses the air and refreshes the senses after a full day of outdoor adventure! So, light up the lantern and create a relaxing, welcome source of heat, light and a soothing scent. This 6-pack of Citronella Tealight Candles will provide approximately 24-30 hours of light.</t>
    </r>
  </si>
  <si>
    <t>3 candles per pack</t>
  </si>
  <si>
    <r>
      <t xml:space="preserve">Not just for mood lighting anymore, tealights have been re-discovered as tiny powerhouses of heat and light. Lightweight, inexpensive and easy to pack, they deliver high-quality light and heat and are available worldwide. These 100% natural </t>
    </r>
    <r>
      <rPr>
        <sz val="10"/>
        <color rgb="FF262626"/>
        <rFont val="Arial"/>
        <family val="2"/>
      </rPr>
      <t>Beeswax Tealight Candles emit a pleasant aroma of honey and produce less smoke.</t>
    </r>
    <r>
      <rPr>
        <sz val="10"/>
        <color rgb="FF151517"/>
        <rFont val="Arial"/>
        <family val="2"/>
      </rPr>
      <t xml:space="preserve"> </t>
    </r>
    <r>
      <rPr>
        <sz val="10"/>
        <color rgb="FF262626"/>
        <rFont val="Arial"/>
        <family val="2"/>
      </rPr>
      <t>This 3-pack of Beeswax Tealight Candles will provide approximately 12-15 hours of light.</t>
    </r>
  </si>
  <si>
    <t>For use in Mini Candle Lantern™ and Micro Candle Lantern™ or for use in a tealight candle holder.</t>
  </si>
  <si>
    <r>
      <t xml:space="preserve">Not just for mood lighting anymore, tealights have been re-discovered as tiny powerhouses of heat and light. Lightweight, inexpensive and easy to pack, they deliver high-quality light and heat and are available worldwide. These 100% natural </t>
    </r>
    <r>
      <rPr>
        <sz val="10"/>
        <color rgb="FF262626"/>
        <rFont val="Arial"/>
        <family val="2"/>
      </rPr>
      <t>Beeswax Tealight Candles emit a pleasant aroma of honey and produce less smoke.</t>
    </r>
    <r>
      <rPr>
        <sz val="10"/>
        <color rgb="FF151517"/>
        <rFont val="Arial"/>
        <family val="2"/>
      </rPr>
      <t xml:space="preserve"> </t>
    </r>
    <r>
      <rPr>
        <sz val="10"/>
        <color rgb="FF262626"/>
        <rFont val="Arial"/>
        <family val="2"/>
      </rPr>
      <t>This 30-pack of Beeswax Tealight Candles will provide approximately 120-150 hours of light.</t>
    </r>
  </si>
  <si>
    <r>
      <t>Not just for mood lighting anymore, tealights have been re-discovered as tiny powerhouses of heat and light. Lightweight, inexpensive and easy to pack, they deliver high-quality light and heat and are available worldwid</t>
    </r>
    <r>
      <rPr>
        <sz val="10"/>
        <color rgb="FF262626"/>
        <rFont val="Arial"/>
        <family val="2"/>
      </rPr>
      <t>e. These citronella tealight candles emit a sweet scent that infuses the air and refreshes the senses after a full day of outdoor adventure! So, light up the lantern and create a relaxing, welcome source of heat, light and a soothing scent. This 30-pack of Citronella Tealight Candles will provide approximately 120-150 hours of light.</t>
    </r>
  </si>
  <si>
    <t>Portable Grills</t>
  </si>
  <si>
    <t>Side Reflector</t>
  </si>
  <si>
    <t>Pac-Flat Reflector™</t>
  </si>
  <si>
    <t>Candlelier® Side Reflector</t>
  </si>
  <si>
    <t>Fits Original, Original + LED, Micro and Mini Candle Lantern models</t>
  </si>
  <si>
    <t>Directs light to one side</t>
  </si>
  <si>
    <t>Clips on easily to the candle lantern</t>
  </si>
  <si>
    <t xml:space="preserve">When you need some focused light, clip the Side Reflector to an edge of your lantern and re-direct the light. It will increase the warm glow of your lantern and, though it won’t boil an egg, it will definitely kick up the cozy. </t>
  </si>
  <si>
    <t>Focuses the light and reflects it downward</t>
  </si>
  <si>
    <t>Slides easily over the top of the candle lantern</t>
  </si>
  <si>
    <t>Separates easily into 2 flat pieces for storage</t>
  </si>
  <si>
    <t xml:space="preserve">Cast light where you need it. The Pac-Flat Reflector is a brilliant 2-piece aluminum “hat” that clicks together and slides over the top of your Candle Lantern, directing and focusing the light downward. Ideal for illuminating a tent, picnic table or any area over which the lantern will be hung, the reflector is lightweight and packs up small and fast. </t>
  </si>
  <si>
    <t>Works on all UCO Original Candle Lanterns</t>
  </si>
  <si>
    <t>Includes LED light, modified base, batteries, and longer bail</t>
  </si>
  <si>
    <t>Kick your resources up a notch. If you already own an Original Candle Lantern you can improve the functionality of it by adding a long-lasting LED to the base. This kit also replaces the base and hanging hook.</t>
  </si>
  <si>
    <t>Fits Candlelier Candle Lantern</t>
  </si>
  <si>
    <t>Slides on easily to the candle lantern</t>
  </si>
  <si>
    <t>Get focused, fast. Slide the Candlelier Side Reflector through the side of the Candlelier® Candle Lantern and get ready to be blinded by the light—but in a good way. Get your chores done in record time, then settle in with some competitive Uno or Yahtzee with the campsite crew.</t>
  </si>
  <si>
    <t>L-CA-C</t>
  </si>
  <si>
    <t>Citronella Candles, Bulk</t>
  </si>
  <si>
    <t>L-CA-B</t>
  </si>
  <si>
    <t>Beeswax Candles, Bulk</t>
  </si>
  <si>
    <t>054269100940</t>
  </si>
  <si>
    <t>Original Candle Lantern™ Repair Kit</t>
  </si>
  <si>
    <t>B-GL-REP</t>
  </si>
  <si>
    <t>9405.91.6000</t>
  </si>
  <si>
    <t>054269103767</t>
  </si>
  <si>
    <t>Titan Stormproof Match Kit™</t>
  </si>
  <si>
    <t>Stormproof Match Kit™</t>
  </si>
  <si>
    <t>Stormproof Matches™ (1 box, 25 matches)</t>
  </si>
  <si>
    <t>Stormproof Matches™ (2 boxes, 50 matches)</t>
  </si>
  <si>
    <t>Stormproof Matches™ (POP Display w/ 30 bulk boxes)</t>
  </si>
  <si>
    <t>Survival Stormproof Matches™ (Bulk, 10 matches)</t>
  </si>
  <si>
    <t>Survival Stormproof Match Kit™</t>
  </si>
  <si>
    <t>Waterproof Matches (4-pack)</t>
  </si>
  <si>
    <t>Compact Strike Anywhere Matches (10-pack)</t>
  </si>
  <si>
    <t>Titan Stormproof Matches™ (bulk, 25 matches)</t>
  </si>
  <si>
    <t>3605.00.0000</t>
  </si>
  <si>
    <t>Stormproof Matches™ (1 box bulk, 25 matches)</t>
  </si>
  <si>
    <t>3923.30.0090</t>
  </si>
  <si>
    <t>Alki Lantern + Flashlight™</t>
  </si>
  <si>
    <t>Lumora Lantern + Flashlight™</t>
  </si>
  <si>
    <t>Arka USB Charger + Lantern + Flashlight™</t>
  </si>
  <si>
    <t>StakeLight™ (2-pack)</t>
  </si>
  <si>
    <t>StakeLight RGB™ (2-pack)</t>
  </si>
  <si>
    <t>StakeLight™ (4-pack)</t>
  </si>
  <si>
    <t>Arka USB Charger + Lantern + Flashlight™ (EU/UK plug)</t>
  </si>
  <si>
    <t>Arka USB Charger + Lantern + Flashlight™ (POP w/ 5 Arka)</t>
  </si>
  <si>
    <t>7321.89.0050</t>
  </si>
  <si>
    <t>Headlamps</t>
  </si>
  <si>
    <t>Candle Lantern Accessories</t>
  </si>
  <si>
    <t>Matches</t>
  </si>
  <si>
    <t>LED Lanterns &amp; Flashlights</t>
  </si>
  <si>
    <t>Special Edition Candle Lantern</t>
  </si>
  <si>
    <t>L-LTD1</t>
  </si>
  <si>
    <t>054269001322</t>
  </si>
  <si>
    <t>HL-A45</t>
  </si>
  <si>
    <t>HL-A120</t>
  </si>
  <si>
    <t>BUFFALO</t>
  </si>
  <si>
    <t>WILD</t>
  </si>
  <si>
    <t>Buffalo Plaid</t>
  </si>
  <si>
    <t>Wild</t>
  </si>
  <si>
    <t>054269001483</t>
  </si>
  <si>
    <t>054269001469</t>
  </si>
  <si>
    <t>054269001476</t>
  </si>
  <si>
    <t>BLACKTAN</t>
  </si>
  <si>
    <t>ELECTRIC</t>
  </si>
  <si>
    <t>VINTAGEGRN</t>
  </si>
  <si>
    <t>Black &amp; Tan</t>
  </si>
  <si>
    <t>Electric Blues</t>
  </si>
  <si>
    <t>Vintage Green</t>
  </si>
  <si>
    <t>054269001513</t>
  </si>
  <si>
    <t>054269001490</t>
  </si>
  <si>
    <t>054269001506</t>
  </si>
  <si>
    <t xml:space="preserve">Cascadian born in 1971, UCO (pronounced “you-co”) provides trusted essentials in heat, light, and power that can be used from the backcountry to the backyard. Delivering light where you need it, UCO’s versatile product line includes the Original Candle Lantern™, LED Lighting, Stormproof Matches™, StakeLights™, and Grilliput portable grills. UCO is a division of Industrial Revolution, Inc., a Seattle-based company that manufactures and distributes products enjoyed by outdoor enthusiasts worldwide. </t>
  </si>
  <si>
    <t>Includes spring, base, piston, heat shield, chain, hook and sticker</t>
  </si>
  <si>
    <t>Breathe new life into your trusty lantern and enjoy it for another 30 years! Quickly and easily replace your lantern’s key components with this replacement kit. Your lantern will look and work like new again (cleaning not included!)</t>
  </si>
  <si>
    <t>Replacement glass for UCO Mini Candle Lanterns</t>
  </si>
  <si>
    <t>Replacement glass for UCO Micro Candle Lanterns</t>
  </si>
  <si>
    <t>Replacement glass for UCO Original Candle Lanterns and Original Candle Lantern + LED</t>
  </si>
  <si>
    <t>Replacement glass for UCO Candlelier Candle Lanterns</t>
  </si>
  <si>
    <t xml:space="preserve">Broken, chipped or cracked glass chimney? No problem—easily install a new Replacement Glass Chimney into your Candle Lantern. Just remove the heat shield from the top of the lantern, remove the old chimney, insert the new chimney and replace the heat shield. Done. </t>
  </si>
  <si>
    <t>Protect your investment with the UCO Cocoon. It wraps your lantern in a sheath of impact-resistant neoprene, and helps prevent scratches, dents and glass breakage during transport. It encases the lantern completely and, with no zippers or snaps, it slides on easily and provides ¼" of cushioning around the lantern.</t>
  </si>
  <si>
    <t>Helps prevent glass breakage plus denting and scratching of lantern</t>
  </si>
  <si>
    <t>Constructed from impact-resistant, 1/4" neoprene</t>
  </si>
  <si>
    <t>Slides on easily</t>
  </si>
  <si>
    <t>Fits UCO Micro Candle Lantern</t>
  </si>
  <si>
    <t>Fits UCO Original Candle Lantern, Original Candle Lantern + LED, and Mini Candle Lantern</t>
  </si>
  <si>
    <t>Fits UCO Candlelier Candle Lantern</t>
  </si>
  <si>
    <t>Conquer any condition with UCO’s beefiest, longest-burning windproof and waterproof matches available. Titan Stormproof Matches measure over four inches long, sport a burn time of up to 25 seconds, will fire up in the harshest of conditions, and will relight after being submerged in water. Each box includes 25 matches plus two extra strikers. With over 10 minutes of fire, you can bring them along for every adventure for a little insurance against the elements.</t>
  </si>
  <si>
    <t>Longest-burning windproof and waterproof matches</t>
  </si>
  <si>
    <t>Matches are easy to light and will relight after being submerged in water</t>
  </si>
  <si>
    <t>Up to 25 second burn time</t>
  </si>
  <si>
    <t>Extended length of match allows for added safety to keep from burning fingertips</t>
  </si>
  <si>
    <t>Lights campfires, stoves, gas-barbecues, etc.</t>
  </si>
  <si>
    <t>When your outdoor adventure demands ingenuity as a survival skill, pack the Titan Stormproof Match Kit. The beefiest, longest-burning windproof and waterproof matches available, Titan matches incinerate the competition. Over four inches long and boasting a burn time of up to 25 seconds, each meaty match will fire up in the harshest of conditions, and will relight after being submerged in water. The kit includes 12 matches, 3 replaceable strikers, a waterproof case that floats and a cord that attaches to a lanyard. That adds up to 5 minutes of fire, and priceless Peace of Mind.</t>
  </si>
  <si>
    <t>Durable, waterproof case floats and keeps contents dry and protected</t>
  </si>
  <si>
    <t>External, integrated, and replaceable striker for easy lighting</t>
  </si>
  <si>
    <t>Windproof and waterproof matches</t>
  </si>
  <si>
    <t>Up to 15 second burn time</t>
  </si>
  <si>
    <t>Fire up the grill, light your lantern or start a campfire, no matter the weather. UCO Stormproof Matches light up quickly and consistently in driving rain, heavy winds and falling snow—and will relight even after being submerged in water. Each box includes 25 matches that burn for up to 15 seconds each, plus extra strikers. That totals over 6 minutes worth of constant, reliable fire for your backpack, emergency kit or glove box. Pack fire, travel well.</t>
  </si>
  <si>
    <t>Fire up the grill, light your lantern or start a campfire, no matter the weather. UCO Stormproof Matches light up quickly and consistently in driving rain, heavy winds and falling snow—and will relight even after being submerged in water. Each box includes 25 matches that burn for up to 15 seconds each, plus extra strikers. That totals over 6 minutes/box worth of constant, reliable fire for your backpack, emergency kit or glove box. Pack fire, travel well.</t>
  </si>
  <si>
    <t>Includes: Stormproof Matches, 2-pack - 12; Stormproof Match Kit (orange) - 12;  Survival Stormproof Match Kits - 12; Waterproof Matches -12; Long-Burn Matches - 12; Strike-on-Box Matches - 12</t>
  </si>
  <si>
    <t>Includes: Stormproof Matches, 2-pack - 24; Stormproof Match Kit (orange) - 12; Stormproof Match Kit (green) - 12; Survival Stormproof Match Kit - 24; Waterproof Matches - 24; Long-Burn Matches - 24; Strike-on-Box Matches - 24</t>
  </si>
  <si>
    <t>Dimensions - approx.: 6.25" L x 13" W x 16.5" H (16 cm x 33 cm x 42 cm)</t>
  </si>
  <si>
    <t>Dimensions - approx.: 16" L x 11.5" W x 64" H (41 cm x 29 cm x 163 cm)</t>
  </si>
  <si>
    <t>Includes: Stormproof Matches, bulk - 30</t>
  </si>
  <si>
    <t>Dimensions - approx.: 6.5" L x 5" W x 10.5" H (17 cm x 13 cm x 26 cm)</t>
  </si>
  <si>
    <t>Includes 25 windproof and waterproof matches and 3 strikers. Match case can hold up to 40 matches.</t>
  </si>
  <si>
    <r>
      <t>Hedge your bets against the weather with a UCO Stormproof Match Kit. Stormproof Matches are windproof, waterproof and light up quickly and consistently in driving rain, heavy winds and falling snow—and will relight even after being submerged in water. Each kit includes 25 matches, 3 strikers and a</t>
    </r>
    <r>
      <rPr>
        <sz val="10"/>
        <rFont val="Arial"/>
        <family val="2"/>
      </rPr>
      <t xml:space="preserve"> waterproof case that floats; the case holds up to 40 matches</t>
    </r>
    <r>
      <rPr>
        <sz val="10"/>
        <color rgb="FF151517"/>
        <rFont val="Arial"/>
        <family val="2"/>
      </rPr>
      <t>. Secure over 6 minutes of life-sustaining fire wherever life takes you, or during whatever Mother Nature throws your way.</t>
    </r>
  </si>
  <si>
    <t>Sealed case contains 15 compact windproof and waterproof matches</t>
  </si>
  <si>
    <t>Integrated, replaceable striker for easy lighting—includes 2 strikers</t>
  </si>
  <si>
    <t>Good things come in small packages, like UCO’s compact Survival Stormproof Matches. Diminutive but dependable, these small fire starters will light in any weather—and will easily relight even after being submerged in water. Whether you’re summiting, sailing or savoring singletrack, pack a few of these matches in your survival kit. If you ever need them, you’ll be more than glad that you did.</t>
  </si>
  <si>
    <t>A crucial component of your 10 Essentials gear, the Survival Stormproof Match Kit is an inexpensive insurance policy for your comfort and care in the outdoors. Fifteen compact Stormproof Matches will light in any weather—and will relight even after being submerged in water! The sealed case includes a replaceable, integrated striker on the outside of the case plus an extra striker. Each match will stay lit for up to 12 seconds, giving you about 3 minutes of fire in each kit.</t>
  </si>
  <si>
    <t>Sealed bag contains 10 compact windproof and waterproof matches</t>
  </si>
  <si>
    <t>Up to 12 second burn time</t>
  </si>
  <si>
    <t>Replaceable striker for easy lighting—includes 2 strikers</t>
  </si>
  <si>
    <t>Protect and securely store your matches away from moist, damp conditions. The waterproof UCO Match Case will hold up to 40 matches (including elongated UCO Stormproof Matches) and includes an integrated striker, plus 2 extra strikers. The ribbed case offers an easy grip, even in cold weather. It’s ideal for your backpack, an emergency kit—even the glove box.</t>
  </si>
  <si>
    <t>Durable, waterproof container floats and keeps contents dry and protected</t>
  </si>
  <si>
    <t>External, integrated, and replaceable striker for easy lighting—includes 3 strikers</t>
  </si>
  <si>
    <t>Molded, vertical ribbing provides a sure grip in wet, harsh conditions</t>
  </si>
  <si>
    <r>
      <t>Fits UCO Stormproof Matches and other brands (</t>
    </r>
    <r>
      <rPr>
        <i/>
        <sz val="10"/>
        <color rgb="FF151517"/>
        <rFont val="Arial"/>
        <family val="2"/>
      </rPr>
      <t>matches not included</t>
    </r>
    <r>
      <rPr>
        <sz val="10"/>
        <color rgb="FF151517"/>
        <rFont val="Arial"/>
        <family val="2"/>
      </rPr>
      <t>) under 2.75</t>
    </r>
    <r>
      <rPr>
        <sz val="10"/>
        <rFont val="Arial"/>
        <family val="2"/>
      </rPr>
      <t>"</t>
    </r>
    <r>
      <rPr>
        <sz val="10"/>
        <color rgb="FF151517"/>
        <rFont val="Arial"/>
        <family val="2"/>
      </rPr>
      <t xml:space="preserve"> (7 cm) in length</t>
    </r>
  </si>
  <si>
    <t>Match case can hold up to 40 matches</t>
  </si>
  <si>
    <t>Repel water and ensure a more consistent light in the outdoors with UCO’s Waterproof Matches. Ideal for adventures in adverse conditions, barbequing on the boat or an unexpected emergency, these matches have a durable waterproof coating that provides the security of light and warmth in compromising situations. Each packet contains 4 boxes of 40 matches each, so stash a box in your backpack, glove box, survival kit and boating supplies for a little peace of mind.</t>
  </si>
  <si>
    <t>Waterproof safety matches light even after being soaked in water</t>
  </si>
  <si>
    <t>Sturdy carbonized match stick for safe and reliable fire starting</t>
  </si>
  <si>
    <t>Water-resistant box and strikers</t>
  </si>
  <si>
    <t>Ideal for camping, hiking, boating, survival kits, etc.</t>
  </si>
  <si>
    <t>Contains 4 boxes with 40 matches per box</t>
  </si>
  <si>
    <t>Lights on most dry, abrasive surfaces</t>
  </si>
  <si>
    <t>Ideal for campfires, fireplaces, stoves, BBQs, lanterns, candles, etc.</t>
  </si>
  <si>
    <t>Contains 250 matches per box</t>
  </si>
  <si>
    <t>Compact-sized strike anywhere matches</t>
  </si>
  <si>
    <t>Sold in 10-pack with 32 matches per box</t>
  </si>
  <si>
    <t>A more travel-friendly version of its bigger brother, the UCO Compact Strike Anywhere matches deliver a reliable light when struck against most dry, rough surfaces. If adverse weather or moisture is a possible issue, consider UCO’S Waterproof or Stormproof Matches to supplement your fire-starting kit. Each pack includes 10 boxes of 32 matches each, so toss a few in your outdoor gear supplies or wherever a little extra light might be needed.</t>
  </si>
  <si>
    <t>Burns 45 seconds to 1 minute depending on conditions—5 times longer than standard matches</t>
  </si>
  <si>
    <t>Longer length (approx. 3.75"/9.5 cm) keeps fingers from getting burned</t>
  </si>
  <si>
    <t>Ideal for lighting campfires, fireplaces, stoves, BBQs, lanterns, candles, etc.</t>
  </si>
  <si>
    <t>Contains 50 matches per box</t>
  </si>
  <si>
    <t>Say “See ya!” to the pile of spent matches and your still-unlit wick or painstakingly perfected teepee of kindling. These UCO Long-Burn Matches make lighting campfires, BBQ grills and candles a breeze. Give them a try—your fingertips will thank you.</t>
  </si>
  <si>
    <t>Keep a box of these large Strike-On-Box safety matches around your house or backyard BBQ. A perfect go-to, everyday match, it will quickly become a miracle match when you’re in a pinch for a light.</t>
  </si>
  <si>
    <t>Large safety matches</t>
  </si>
  <si>
    <t>Burn Time (up to): 15 seconds; Length: 2.75" (7 cm); Weight (single pack): 0.8 oz. (22 g)</t>
  </si>
  <si>
    <t>Burn Time (up to): 15 seconds; Length: 2.75" (7 cm); Weight (Kit): 1.7 oz. (48 g)</t>
  </si>
  <si>
    <t>Weight: 0.8 oz. (23 g)</t>
  </si>
  <si>
    <t>Burn Time (up to): 12 seconds; Length: 2.125" (5.4 cm); Weight (Kit): 0.5 oz. (15 g)</t>
  </si>
  <si>
    <t>Burn Time (up to): 12 seconds; Length: 2.125" (5.4 cm)</t>
  </si>
  <si>
    <t>Burn Time (up to): 60 seconds; Length: 3.75" (9.5 cm)</t>
  </si>
  <si>
    <t>Burn Time (up to): 15 seconds; Length: 2.125" (5.4 cm)</t>
  </si>
  <si>
    <t>Burn Time (up to): 15 seconds; Length: 1.75" (4.4 cm)</t>
  </si>
  <si>
    <t>Burn Time (up to): 20 seconds; Length: 2.125" (5.4 cm)</t>
  </si>
  <si>
    <t>Dimensions–open: 3.5" high x 2.25" diameter (9 cm x 6 cm); Dimensions–closed: 2.5" high x 2.25" diameter (6.5 cm x 6 cm); Weight (w/ 2 candles): 3.9 oz. (111 g); Candle: Two tealight candles with 4-5 hour burn time per tealight</t>
  </si>
  <si>
    <t>Dimensions–open: 6.5" high x 2" diameter (17 cm x 5 cm); Dimensions–closed: 4.25" high x 2" diameter (11 cm x 5 cm); Weight (w/ candle): 6.4 oz. (181 g); Candle: UCO 9-hour or citronella candles, or 12-hour beeswax candles</t>
  </si>
  <si>
    <t>Dimensions–open: 6.5" high x 2" diameter (17 cm x 5 cm); Dimensions–closed: 4.25" high x 2" diameter (11 cm x 5 cm); Weight (w/ candle): 8.8 oz. (249 g); Candle: UCO 9-hour or citronella candles, or 12-hour beeswax candles</t>
  </si>
  <si>
    <t>Hand-stitched leather sleeve</t>
  </si>
  <si>
    <t>Original Candle Lantern™ Value Pack</t>
  </si>
  <si>
    <t>Micro Candle Lantern™</t>
  </si>
  <si>
    <t>Mini Candle Lantern™</t>
  </si>
  <si>
    <t>Original Candle Lantern™</t>
  </si>
  <si>
    <t>Special Edition Original Candle Lantern™</t>
  </si>
  <si>
    <t>Original Candle Lantern™ Kit</t>
  </si>
  <si>
    <t>Original Candle Lantern + LED™</t>
  </si>
  <si>
    <t>Candlelier® Candle Lantern</t>
  </si>
  <si>
    <t>Cocoon™ (for Micro Candle Lantern™)</t>
  </si>
  <si>
    <t>Cocoon™ (for Mini, Original, or Original + LED Candle Lantern™)</t>
  </si>
  <si>
    <t>Cocoon™ (for Candlelier® Candle Lantern)</t>
  </si>
  <si>
    <t>LED Upgrade Kit (for Original Candle Lantern™)</t>
  </si>
  <si>
    <t>Replacement Glass Chimney (for Mini Candle Lantern™)</t>
  </si>
  <si>
    <t>Replacement Glass Chimney (for Micro Candle Lantern™)</t>
  </si>
  <si>
    <t>Replacement Glass Chimney (for Original Candle Lantern™)</t>
  </si>
  <si>
    <t>Replacement Glass Chimney (for Candlelier® Candle Lantern)</t>
  </si>
  <si>
    <t>UCO Clarus Lantern + Flashlight™</t>
  </si>
  <si>
    <t>LumoraPod Utility Light™ (LED Lantern + Tripod)</t>
  </si>
  <si>
    <t>StakeLight™</t>
  </si>
  <si>
    <t>A-45 Comfort-Fit Headlamp™</t>
  </si>
  <si>
    <t>A-120 Comfort-Fit Headlamp™</t>
  </si>
  <si>
    <t>Dimensions–open: 6.5" high x 2" diameter (17 cm x 5 cm); Dimensions–closed: 4.25" high x 2" diameter (11 cm x 5 cm); Weight (lantern w/ 1 candle only): 6.4 oz. (181 g); Candle: UCO 9-hour or citronella candles, or 12-hour beeswax candles</t>
  </si>
  <si>
    <t>Dimensions–open: 6.5" high x 2" diameter (17 cm x 5 cm); Dimensions–closed: 4.25" high x 2" diameter (11 cm x 5 cm); Weight (lantern w/ 1 candle only): 8.8 oz. (249 g); Candle: UCO 9-hour or citronella candles, or 12-hour beeswax candles</t>
  </si>
  <si>
    <t>Dimensions: 8" high x 4" diameter (20 cm x 10 cm); Weight (w/ 3 candle): 18.0 oz. (510 g); Candles: UCO 9-hour or citronella candles, or 12-hour beeswax candles</t>
  </si>
  <si>
    <t>Weight: 1.1 oz. (31 g)</t>
  </si>
  <si>
    <t>Weight: 1.6 oz. (45 g)</t>
  </si>
  <si>
    <t>Weight: 4.7 oz. (133 g)</t>
  </si>
  <si>
    <t>Weight: 1 oz. (28 g)</t>
  </si>
  <si>
    <t>Weight: 0.3 oz. (9 g)</t>
  </si>
  <si>
    <t>Collapsible lantern is rugged, water resistant, and easy to transport</t>
  </si>
  <si>
    <t>Frosted globe slides up for lantern mode and down for flashlight mode</t>
  </si>
  <si>
    <t>Bright R3 XP-E CREE LED provides a diffused white light, in lantern mode, up to 150 lumens</t>
  </si>
  <si>
    <t>Burns up to 70 hours</t>
  </si>
  <si>
    <t>On/off button switches light levels from bright to mid to dim light to conserve batteries or strobe for emergency situations</t>
  </si>
  <si>
    <t>Includes a hook for hanging</t>
  </si>
  <si>
    <t>The small, powerful UCO Clarus Lantern + Flashlight is one of the most lightweight, versatile lights you’ll ever own. Built for adventure, it’s reliable, convenient and sheds up to 150 lumens of light wherever you need it. Use it as a lantern and adjust the brightness to high, mid or dim—useful if battery power needs to be conserved—or push the head down and collapse it into a flashlight when you need a focused beam of light. Activate the strobe function in an emergency; the hanging hook makes hands-free operation a snap.</t>
  </si>
  <si>
    <t>Cast a broad swath of light from almost anywhere! Pack the innovative Alki Lantern + Flashlight when you need a versatile, lightweight, compact source of light to illuminate your adventures. The convenient, patent-pending integrated shock cord in the base of the Alki enables you to hang and focus the lantern from both horizontal and vertical surfaces. No longer limited to a pole or limb that will accept a hook or string, the Alki Lantern + Flashlight can be lashed to a tree limb, tent pole, guy line, bar, strap or flagpole! Push the globe down to transform the lantern into a handy flashlight for reading in bed or to accompany you on late-night forays out of your tent. Offers four lighting modes, including a strobe mode.</t>
  </si>
  <si>
    <t>On/off button switches light levels from low to mid to bright light to conserve batteries or strobe for emergency situations</t>
  </si>
  <si>
    <t>Bright R3 XP-G CREE LED provides a diffused white light, in lantern mode, up to 180 lumens</t>
  </si>
  <si>
    <t>Dimming switch adjusts from bright to low light to conserve batteries</t>
  </si>
  <si>
    <t>Attaches to any device with a 1/4-20 mounting screw</t>
  </si>
  <si>
    <t>Frosted globe slides up and down easily to allow use as lantern or flashlight; Burns up to 190 hours</t>
  </si>
  <si>
    <t>Durable base with extendable feet for additional stability</t>
  </si>
  <si>
    <t>Includes a split ring for hanging</t>
  </si>
  <si>
    <t>A perfect companion for any outdoor adventure, the Lumora Lantern + Flashlight keeps the light on for you. With 180 lumens of diffused light, this small wonder transforms from lantern to flashlight with a simple downward push of the globe. Extend the feet and set on a flat surface to light up an area or attach the Lumora, via its ¼-20 mounting screw, to a tripod or a walking stick for a more mobile light source.</t>
  </si>
  <si>
    <t>Frosted globe slides up and down easily to allow use as lantern or flashlight; Burns up to 190 hours; Dimming switch adjusts from bright to low light to conserve batteries</t>
  </si>
  <si>
    <t>Attaches to any device with a 1/4-20 mounting screw; Durable base with extendable feet for additional stability; Includes a split ring for hanging</t>
  </si>
  <si>
    <t>Fits any camera or other device with a tripod socket</t>
  </si>
  <si>
    <t>Unique ball and socket camera mount assembly positions camera at any angle</t>
  </si>
  <si>
    <t>Molded from fiberglass reinforced nylon with aluminum threaded components; Compact and lightweight</t>
  </si>
  <si>
    <t>Fold-out legs with non-slip vinyl feet; Removable Velcro "one wrap" strap</t>
  </si>
  <si>
    <r>
      <t>Swedish FireSteel 2.0</t>
    </r>
    <r>
      <rPr>
        <sz val="10"/>
        <rFont val="Calibri"/>
        <family val="2"/>
      </rPr>
      <t>®</t>
    </r>
    <r>
      <rPr>
        <sz val="10"/>
        <rFont val="Arial"/>
        <family val="2"/>
      </rPr>
      <t xml:space="preserve"> Scout </t>
    </r>
  </si>
  <si>
    <r>
      <t>Swedish FireSteel 2.0</t>
    </r>
    <r>
      <rPr>
        <sz val="10"/>
        <rFont val="Calibri"/>
        <family val="2"/>
      </rPr>
      <t>®</t>
    </r>
    <r>
      <rPr>
        <sz val="10"/>
        <rFont val="Arial"/>
        <family val="2"/>
      </rPr>
      <t xml:space="preserve"> Army</t>
    </r>
  </si>
  <si>
    <r>
      <t>Swedish FireSteel</t>
    </r>
    <r>
      <rPr>
        <sz val="10"/>
        <rFont val="Calibri"/>
        <family val="2"/>
      </rPr>
      <t>®</t>
    </r>
    <r>
      <rPr>
        <sz val="10"/>
        <rFont val="Arial"/>
        <family val="2"/>
      </rPr>
      <t xml:space="preserve"> Scout</t>
    </r>
  </si>
  <si>
    <r>
      <t>Swedish Firesteel</t>
    </r>
    <r>
      <rPr>
        <sz val="10"/>
        <rFont val="Calibri"/>
        <family val="2"/>
      </rPr>
      <t xml:space="preserve">® </t>
    </r>
    <r>
      <rPr>
        <sz val="10"/>
        <rFont val="Arial"/>
        <family val="2"/>
      </rPr>
      <t>Army</t>
    </r>
  </si>
  <si>
    <r>
      <t>Fire Lighting Kit + Grandpa's FireFork</t>
    </r>
    <r>
      <rPr>
        <sz val="10"/>
        <rFont val="Calibri"/>
        <family val="2"/>
      </rPr>
      <t>™</t>
    </r>
  </si>
  <si>
    <r>
      <t>Swedish FireKnife</t>
    </r>
    <r>
      <rPr>
        <sz val="10"/>
        <rFont val="Calibri"/>
        <family val="2"/>
      </rPr>
      <t>™</t>
    </r>
  </si>
  <si>
    <r>
      <t>Swedish FireKnife</t>
    </r>
    <r>
      <rPr>
        <sz val="10"/>
        <rFont val="Calibri"/>
        <family val="2"/>
      </rPr>
      <t xml:space="preserve">™ </t>
    </r>
    <r>
      <rPr>
        <sz val="10"/>
        <rFont val="Arial"/>
        <family val="2"/>
      </rPr>
      <t>FireSteel Refill</t>
    </r>
  </si>
  <si>
    <r>
      <t>SnapBox original</t>
    </r>
    <r>
      <rPr>
        <sz val="10"/>
        <rFont val="Calibri"/>
        <family val="2"/>
      </rPr>
      <t>™</t>
    </r>
  </si>
  <si>
    <r>
      <t>SnapBox oval</t>
    </r>
    <r>
      <rPr>
        <sz val="10"/>
        <rFont val="Calibri"/>
        <family val="2"/>
      </rPr>
      <t>™</t>
    </r>
  </si>
  <si>
    <r>
      <t>LunchKit</t>
    </r>
    <r>
      <rPr>
        <sz val="10"/>
        <rFont val="Calibri"/>
        <family val="2"/>
      </rPr>
      <t>™</t>
    </r>
  </si>
  <si>
    <r>
      <t>MealKit 2.0</t>
    </r>
    <r>
      <rPr>
        <sz val="10"/>
        <rFont val="Calibri"/>
        <family val="2"/>
      </rPr>
      <t>™</t>
    </r>
  </si>
  <si>
    <r>
      <t>Harness (for LunchKit</t>
    </r>
    <r>
      <rPr>
        <sz val="10"/>
        <rFont val="Calibri"/>
        <family val="2"/>
      </rPr>
      <t>™</t>
    </r>
    <r>
      <rPr>
        <sz val="10"/>
        <rFont val="Arial"/>
        <family val="2"/>
      </rPr>
      <t xml:space="preserve"> or MealKit 2.0</t>
    </r>
    <r>
      <rPr>
        <sz val="10"/>
        <rFont val="Calibri"/>
        <family val="2"/>
      </rPr>
      <t>™</t>
    </r>
    <r>
      <rPr>
        <sz val="10"/>
        <rFont val="Arial"/>
        <family val="2"/>
      </rPr>
      <t>)</t>
    </r>
  </si>
  <si>
    <r>
      <t>Spork Titanium</t>
    </r>
    <r>
      <rPr>
        <sz val="10"/>
        <rFont val="Calibri"/>
        <family val="2"/>
      </rPr>
      <t>™</t>
    </r>
  </si>
  <si>
    <t>Spork original™, 2-Pack</t>
  </si>
  <si>
    <r>
      <t>Spork original</t>
    </r>
    <r>
      <rPr>
        <sz val="10"/>
        <rFont val="Calibri"/>
        <family val="2"/>
      </rPr>
      <t>™</t>
    </r>
    <r>
      <rPr>
        <sz val="10"/>
        <rFont val="Arial"/>
        <family val="2"/>
      </rPr>
      <t xml:space="preserve"> -  Bulk</t>
    </r>
  </si>
  <si>
    <r>
      <t>Spork extra-medium</t>
    </r>
    <r>
      <rPr>
        <sz val="10"/>
        <rFont val="Calibri"/>
        <family val="2"/>
      </rPr>
      <t>™</t>
    </r>
    <r>
      <rPr>
        <sz val="10"/>
        <rFont val="Arial"/>
        <family val="2"/>
      </rPr>
      <t xml:space="preserve"> - Bulk</t>
    </r>
  </si>
  <si>
    <r>
      <t>Spork extra-medium</t>
    </r>
    <r>
      <rPr>
        <sz val="10"/>
        <rFont val="Calibri"/>
        <family val="2"/>
      </rPr>
      <t>™,</t>
    </r>
    <r>
      <rPr>
        <sz val="10"/>
        <rFont val="Arial"/>
        <family val="2"/>
      </rPr>
      <t xml:space="preserve"> 2-Pack </t>
    </r>
  </si>
  <si>
    <r>
      <t>Spork large</t>
    </r>
    <r>
      <rPr>
        <sz val="10"/>
        <rFont val="Calibri"/>
        <family val="2"/>
      </rPr>
      <t>™,</t>
    </r>
    <r>
      <rPr>
        <sz val="10"/>
        <rFont val="Arial"/>
        <family val="2"/>
      </rPr>
      <t xml:space="preserve"> 2 Pack</t>
    </r>
  </si>
  <si>
    <r>
      <t>Spork lefty</t>
    </r>
    <r>
      <rPr>
        <sz val="10"/>
        <rFont val="Calibri"/>
        <family val="2"/>
      </rPr>
      <t>™</t>
    </r>
    <r>
      <rPr>
        <sz val="10"/>
        <rFont val="Arial"/>
        <family val="2"/>
      </rPr>
      <t>, 2 pack</t>
    </r>
  </si>
  <si>
    <t>Grandpa's FireFork™, 2-Pack</t>
  </si>
  <si>
    <r>
      <t>TinderSticks</t>
    </r>
    <r>
      <rPr>
        <sz val="10"/>
        <rFont val="Calibri"/>
        <family val="2"/>
      </rPr>
      <t>™</t>
    </r>
  </si>
  <si>
    <r>
      <t>Pack-up-Cup</t>
    </r>
    <r>
      <rPr>
        <sz val="10"/>
        <rFont val="Calibri"/>
        <family val="2"/>
      </rPr>
      <t>™</t>
    </r>
  </si>
  <si>
    <r>
      <t>Pack-up-Cup</t>
    </r>
    <r>
      <rPr>
        <sz val="10"/>
        <rFont val="Calibri"/>
        <family val="2"/>
      </rPr>
      <t>™</t>
    </r>
    <r>
      <rPr>
        <sz val="10"/>
        <rFont val="Arial"/>
        <family val="2"/>
      </rPr>
      <t xml:space="preserve">, 4-pack </t>
    </r>
  </si>
  <si>
    <r>
      <t>Pack-up-Bottle</t>
    </r>
    <r>
      <rPr>
        <sz val="10"/>
        <rFont val="Calibri"/>
        <family val="2"/>
      </rPr>
      <t>™</t>
    </r>
  </si>
  <si>
    <r>
      <t>Pack-up-Drink Kit</t>
    </r>
    <r>
      <rPr>
        <sz val="10"/>
        <rFont val="Calibri"/>
        <family val="2"/>
      </rPr>
      <t>™</t>
    </r>
  </si>
  <si>
    <t>Pack’n Eat Kit™</t>
  </si>
  <si>
    <t>Cutting board, 3-pack</t>
  </si>
  <si>
    <t>Rechargeable Li-Ion battery; Burns on high for 5 hours or low for up to 120 hours.</t>
  </si>
  <si>
    <t>Durable, water-resistant ABS/TPE housing</t>
  </si>
  <si>
    <t xml:space="preserve">Light up your campsite or workspace with the tough, water-resistant Tetra USB Charger + Lantern + Flashlight. Delivering maximum brightness and functionality in a 4.3 oz. package, it’s loaded with 170 lumens and a range of brightness levels. Transform the Tetra into a focused beam by pushing the head down, and then charge your digital devices through its USB charging port. When its long-lasting rechargeable battery needs a boost, juice it up by plugging it into a standard electrical socket. </t>
  </si>
  <si>
    <t>LED light indicates battery level and charging status; Dimming switch and base of globe glow in the dark</t>
  </si>
  <si>
    <t>Frosted globe slides up for a diffused white light in lantern mode and down for flashlight mode</t>
  </si>
  <si>
    <t>Durable, water-resistant ABS/TPE housing with extendable feet for additional stability</t>
  </si>
  <si>
    <t>5 lighting modes that vary from high to low light plus 3 red LEDs that vary from tactical night vision to strobe to S.O.S. emergency strobe</t>
  </si>
  <si>
    <t>LED indicator light displays battery level and charging status; Split ring on top allows hanging</t>
  </si>
  <si>
    <t>The tough, water-resistant 3-in-1 Arka LED light is a lantern, collapses into a powerful flashlight and also charges up your digital devices. Hang it from a branch or hook or set up on a flat surface with its foldable feet. Push the head down to transform it into a 180-lumen flashlight or activate the red-light mode to preserve night vision or to read maps. In trouble? A strobe option functions as an emergency beacon. Plug the lantern into any standard electrical socket to juice up the rechargeable battery or charge one of your USB devices while out on an adventure.</t>
  </si>
  <si>
    <t>On/off switch integrated into the lens</t>
  </si>
  <si>
    <t>Constructed from durable 6000 series aluminum</t>
  </si>
  <si>
    <t>LED is in a highly water-resistant TPE housing (IPX 6)</t>
  </si>
  <si>
    <t>LED can be easily removed and used separately</t>
  </si>
  <si>
    <t>Stake your claim (and find it again) with UCO’s StakeLights. Set up your tent in the dark, answer nature’s call and quickly locate it again—these illuminated tent stakes make it easy to identify and set up your tent in a flash. Enjoy a perimeter of light around your tent or set it to “strobe” for better visibility of your tent’s location.</t>
  </si>
  <si>
    <t>Area mode: 17 lumens of light for up to 10 hours</t>
  </si>
  <si>
    <t>Battery Type (not included): One 1.5V AAA per StakeLight; Length: 9" (22.9 cm); Weight (per StakeLight - without battery): 1.3 oz. (36 g)</t>
  </si>
  <si>
    <t>Battery Type (not included): One 1.5V AAA; Length: 9" (22.9 cm); Weight (without battery): 1.3 oz. (36 g)</t>
  </si>
  <si>
    <t>Provides up to 12 hours of Red, Green, or Blue LED light</t>
  </si>
  <si>
    <t>Sold in 2-packs</t>
  </si>
  <si>
    <t>Bring a 2-pack of bling to your next outdoor overnight with the StakeLight RGB. Choose the red, green or blue LED light and these StakeLights will surround your tent with a perimeter of color, making it stand out in a crowd of tents. Just stake your tent, click the switch to choose your color and the LED-lit stakes will shine for up to 12 hours. Ideal for large campsites, music festivals, and other large gatherings.</t>
  </si>
  <si>
    <t>Thinnest, lightest, most comfortable headlamp on the market</t>
  </si>
  <si>
    <t>Includes 2 CR2032 3v Li batteries</t>
  </si>
  <si>
    <t>External battery pack slides along strap to keep weight off of forehead</t>
  </si>
  <si>
    <t>Includes 3 AAA batteries</t>
  </si>
  <si>
    <t>Say goodbye to bulky, front-heavy headlamps that never fit or feel quite right. Say, “hey there!” to a comfortable, lightweight headlamp so easy to wear that you’ll forget you’re sporting a light on your head. (Until your camping buddy yells and covers their eyes when you look up at them from your nighttime reading.) Like the new A-45 headlamp, UCO’S new A-120 headlamp is streamlined and simple: no bulky, hard hinges to irritate your head; a soft, adjustable neoprene strap for a comfortable custom fit, and an intuitive, infinitely adjustable dial to control the light that, FYI, blazes up to 120 lumens and includes a red LED for night-vision mode. Your forehead (but maybe not your buddy) will thank you.</t>
  </si>
  <si>
    <t>Durable, plastic base with on/off button</t>
  </si>
  <si>
    <t>M-12553</t>
  </si>
  <si>
    <t>M-12351</t>
  </si>
  <si>
    <t>Individual Item Packaged Weight (lbs)</t>
  </si>
  <si>
    <t>Individual Item Packaged Width (in)</t>
  </si>
  <si>
    <t>Individual Item Packaged Height (in)</t>
  </si>
  <si>
    <t>Inner Pack Weight (lbs)</t>
  </si>
  <si>
    <t>Inner Pack Width (in)</t>
  </si>
  <si>
    <t>Inner Pack Height (in)</t>
  </si>
  <si>
    <t>Master Weight (lbs)</t>
  </si>
  <si>
    <t>Master Width (in)</t>
  </si>
  <si>
    <t>Master Depth (in)</t>
  </si>
  <si>
    <t>Master Height (in)</t>
  </si>
  <si>
    <t>Date New Item Available</t>
  </si>
  <si>
    <t>Pack-Up-Cup</t>
  </si>
  <si>
    <t>Pack-Up-Bottle</t>
  </si>
  <si>
    <t>Large</t>
  </si>
  <si>
    <t>Sporks'n Case</t>
  </si>
  <si>
    <t>Little</t>
  </si>
  <si>
    <t>Lefty</t>
  </si>
  <si>
    <t>Plexi</t>
  </si>
  <si>
    <t>Detachable LED light is housed in base of lantern</t>
  </si>
  <si>
    <t>Master L x W x H  / cubic feet</t>
  </si>
  <si>
    <t>Unique, no “hard point” hinge design fits your head perfectly and allows the lamp to focus forward or down towards the ground.</t>
  </si>
  <si>
    <t>Headache Free—Soft, adjustable neoprene strap with hook/loop adjustment for a custom, comfort fit</t>
  </si>
  <si>
    <t>Dial provides infinitely adjustable brightness on CREE XP-E LED up to 120 lumens plus red night vision mode</t>
  </si>
  <si>
    <t>Lightweight, durable aluminum construction with a patina-bronze finish</t>
  </si>
  <si>
    <t>Burns long-lasting UCO 9-hour candle in a gold anodized candle tube</t>
  </si>
  <si>
    <t>Add a touch of handcrafted yet rugged charm to your campfire dinner. Featuring a hand-stitched leather sleeve around the patina bronze candle lantern base, this made in the USA Special Edition Original Candle Lantern delivers trusted performance and a sense of warm, timeless functionality to any outdoor adventure.</t>
  </si>
  <si>
    <t>MT-TORCH</t>
  </si>
  <si>
    <t>ML-CLARUS2</t>
  </si>
  <si>
    <r>
      <t>Stormproof Torch &amp; Utility Tape</t>
    </r>
    <r>
      <rPr>
        <sz val="10"/>
        <rFont val="Calibri"/>
        <family val="2"/>
      </rPr>
      <t>™</t>
    </r>
  </si>
  <si>
    <t>New Products</t>
  </si>
  <si>
    <t>Stormproof Survival Kit™</t>
  </si>
  <si>
    <t>MT-KIT1</t>
  </si>
  <si>
    <t>HL-X120</t>
  </si>
  <si>
    <t>HL-X120R</t>
  </si>
  <si>
    <t>ML-PIKA</t>
  </si>
  <si>
    <r>
      <t>Pika 3-in-1 Rechargeable Lantern</t>
    </r>
    <r>
      <rPr>
        <sz val="10"/>
        <rFont val="Calibri"/>
        <family val="2"/>
      </rPr>
      <t>™</t>
    </r>
  </si>
  <si>
    <t>L-C-W</t>
  </si>
  <si>
    <r>
      <t>Original Candle Lantern</t>
    </r>
    <r>
      <rPr>
        <sz val="10"/>
        <rFont val="Calibri"/>
        <family val="2"/>
      </rPr>
      <t>™</t>
    </r>
  </si>
  <si>
    <t>A-LTN-KIT</t>
  </si>
  <si>
    <r>
      <t>Mini Candle Lantern Kit</t>
    </r>
    <r>
      <rPr>
        <sz val="10"/>
        <rFont val="Calibri"/>
        <family val="2"/>
      </rPr>
      <t>™</t>
    </r>
  </si>
  <si>
    <r>
      <t>Spork original</t>
    </r>
    <r>
      <rPr>
        <sz val="10"/>
        <color theme="1"/>
        <rFont val="Calibri"/>
        <family val="2"/>
      </rPr>
      <t>™</t>
    </r>
    <r>
      <rPr>
        <sz val="10"/>
        <color theme="1"/>
        <rFont val="Arial"/>
        <family val="2"/>
      </rPr>
      <t>, 4-Pack - Full Spirit</t>
    </r>
  </si>
  <si>
    <t>0.4-0.49</t>
  </si>
  <si>
    <t>~8.25</t>
  </si>
  <si>
    <t>~2</t>
  </si>
  <si>
    <t>~4</t>
  </si>
  <si>
    <t>~26.6</t>
  </si>
  <si>
    <t>Pinpack</t>
  </si>
  <si>
    <t>Individual Item Unpackaged Weight (lbs)</t>
  </si>
  <si>
    <t>Individual Item Unpackaged Width (in)</t>
  </si>
  <si>
    <t>Individual Item Unpackaged Height (in)</t>
  </si>
  <si>
    <t>Packaging Style</t>
  </si>
  <si>
    <t>Bulk</t>
  </si>
  <si>
    <t>Plexitube</t>
  </si>
  <si>
    <t>Display</t>
  </si>
  <si>
    <t>Gift Box</t>
  </si>
  <si>
    <t>Forest Lapplander 95</t>
  </si>
  <si>
    <t>Hunting Belly Opener</t>
  </si>
  <si>
    <t>Equus Farrier’s 180RH Wide</t>
  </si>
  <si>
    <t>Straight Wide Boning 7153PG</t>
  </si>
  <si>
    <t>Gutting Knife 159/288P</t>
  </si>
  <si>
    <t>Mushroom Knife</t>
  </si>
  <si>
    <t>Dark Grey/Orange</t>
  </si>
  <si>
    <t>Classic No. 1</t>
  </si>
  <si>
    <t>Classic No. 2</t>
  </si>
  <si>
    <t>Classic No. 2/0</t>
  </si>
  <si>
    <t>Classic No. 3</t>
  </si>
  <si>
    <t>Companion MG</t>
  </si>
  <si>
    <t>Dial provides infinitely adjustable brightness on CREE XP-D LED up to 11 lumens plus red night vision mode; Burns up to 200 hours</t>
  </si>
  <si>
    <t>Keep “Blinded by the (Headlamp) Light” horror stories where they belong—around the campfire. Introducing UCO’s new revolutionary A-45 Comfort-Fit Headlamp—a headlamp so easy on the eyes it should be named, “Your Camping Buddy’s New BFF.” Besides not blinding him or her with every turn of your head, the soft, adjustable neoprene strap that houses the light is extremely lightweight, comfortable and easy on your skin so you'll be headache free. No bulky, hard hinges irritate your head and an intuitive, infinitely adjustable dial controls the light, which burns for up to 200 hours and tops out at 11 lumens and includes a red LED for night vision mode. Result? Your buddy will thank you. And you’ll get invited on more adventures. The new A-45: It’s everyone’s new BFF.</t>
  </si>
  <si>
    <t>Master Carton GTIN</t>
  </si>
  <si>
    <t>Inner Carton GTIN</t>
  </si>
  <si>
    <t>10054269001480</t>
  </si>
  <si>
    <t>20054269001487</t>
  </si>
  <si>
    <t>Peggable Card</t>
  </si>
  <si>
    <t>10054269001466</t>
  </si>
  <si>
    <t>20054269001463</t>
  </si>
  <si>
    <t>20054269001470</t>
  </si>
  <si>
    <t>10054269001510</t>
  </si>
  <si>
    <t>20054269001517</t>
  </si>
  <si>
    <t>10054269001497</t>
  </si>
  <si>
    <t>10054269001503</t>
  </si>
  <si>
    <t>20054269001494</t>
  </si>
  <si>
    <t>20054269001500</t>
  </si>
  <si>
    <t>Box</t>
  </si>
  <si>
    <t>Peggable Box</t>
  </si>
  <si>
    <t>20054269000879</t>
  </si>
  <si>
    <t>20054269001265</t>
  </si>
  <si>
    <t>20054269500409</t>
  </si>
  <si>
    <t>20054269000923</t>
  </si>
  <si>
    <t>Grilliput Portable Grill™</t>
  </si>
  <si>
    <t>Grilliput Portable Grill XL™</t>
  </si>
  <si>
    <t>Portable FirePit™</t>
  </si>
  <si>
    <t>Portable FirePit XL™</t>
  </si>
  <si>
    <t>Hangtag</t>
  </si>
  <si>
    <t>Hangtag w/ Polybag</t>
  </si>
  <si>
    <t>Polybag</t>
  </si>
  <si>
    <t>Peggable Sleeve</t>
  </si>
  <si>
    <t>10054269001435</t>
  </si>
  <si>
    <t>20054269001432</t>
  </si>
  <si>
    <t>054269001537</t>
  </si>
  <si>
    <t>20054269001531</t>
  </si>
  <si>
    <t>054269001551</t>
  </si>
  <si>
    <t>10054269001558</t>
  </si>
  <si>
    <t>20054269001555</t>
  </si>
  <si>
    <t>054269001544</t>
  </si>
  <si>
    <t>10054269001541</t>
  </si>
  <si>
    <t>20054269001548</t>
  </si>
  <si>
    <t>054269001612</t>
  </si>
  <si>
    <t>10054269001619</t>
  </si>
  <si>
    <t>20054269001616</t>
  </si>
  <si>
    <t>054269001629</t>
  </si>
  <si>
    <t>10054269001626</t>
  </si>
  <si>
    <t>20054269001623</t>
  </si>
  <si>
    <t>054269001599</t>
  </si>
  <si>
    <t>10054269001596</t>
  </si>
  <si>
    <t>20054269001593</t>
  </si>
  <si>
    <t>054269001582</t>
  </si>
  <si>
    <t>10054269001589</t>
  </si>
  <si>
    <t>20054269001586</t>
  </si>
  <si>
    <t>054269001605</t>
  </si>
  <si>
    <t>10054269001602</t>
  </si>
  <si>
    <t>20054269001609</t>
  </si>
  <si>
    <t>054269001520</t>
  </si>
  <si>
    <t>10054269001527</t>
  </si>
  <si>
    <t>20054269001524</t>
  </si>
  <si>
    <t>054269001643</t>
  </si>
  <si>
    <t>10054269001640</t>
  </si>
  <si>
    <t>20054269001647</t>
  </si>
  <si>
    <t>China, Germany, &amp; India</t>
  </si>
  <si>
    <t>6306.22.1000</t>
  </si>
  <si>
    <t>9613.80.2010</t>
  </si>
  <si>
    <t>10054269001473</t>
  </si>
  <si>
    <t>1.3 &amp; 2.0</t>
  </si>
  <si>
    <t>Great for low-impact camping, backyard, or patio use</t>
  </si>
  <si>
    <t>Safely contains a fire and keeps fire off the ground</t>
  </si>
  <si>
    <t>Constructed from durable stainless steel to provide high rust and corrosion resistance</t>
  </si>
  <si>
    <t>Lightweight and collapsible, with enough space to transport briquettes or wood</t>
  </si>
  <si>
    <t>Dimensions-packed: 7" x 3.125" (18 cm x 8 cm); Weight: 10.1 oz. (286 g)</t>
  </si>
  <si>
    <t>Perfect for low-impact camping or while canoeing or biking, the stainless steel Portable FirePit can be loaded with charcoal or wood and—voila! The fire is contained for safe and secure cooking. You'll save space and weight, too—the FirePit weighs in at 10 oz. and can be packed with pre-loaded fuel inside its collapsible bowl. It's ideal for use with the Grilliput Portable Grill™, other small barbecues, or by itself.</t>
  </si>
  <si>
    <t>Portable FirePit for use with the Grilliput Portable Grill, other camping grills, or by itself</t>
  </si>
  <si>
    <t>Cooking for a crew? Safely contain your grilling fuel and fire with the FireBowl XL. Its collapsible stainless steel construction is lightweight yet tough, making it easy to carry and assemble for backpacking, biking, canoeing or low-impact camping adventures. The perfect accessory to the Grilliput Quattro™ or other barbeques, its thoughtful construction allows you to carry extra wood or charcoal in its collapsed bowl.</t>
  </si>
  <si>
    <t>Extendable feet keep fire off the ground and collapse for easier storage</t>
  </si>
  <si>
    <t>Portable FirePit XL for use with the Grilliput Portable Grill XL, other camping grills, or by itself</t>
  </si>
  <si>
    <t>Dimensions-packed: 8.75" x 3" (22 cm x 7.5 cm); Weight: 12.6 oz. (384 g)</t>
  </si>
  <si>
    <t>Grill on the go! Bring it backpacking, boating or on the beach—the Grilliput Portable Grill is lightweight and assembles quickly. Use it to grill over a Portable FirePit™ filled with fuel and cook enough food for 2–3 people. Crafted from high-quality stainless steel, it’s beefy, beautiful, easy to clean and deconstructs like a minimalist’s dream. It comes apart in seconds; all pieces fit together neatly in one of the grill's side rails.</t>
  </si>
  <si>
    <t>Collapsible grill is perfect size to grill food for 2-3 people</t>
  </si>
  <si>
    <t>Constructed from durable stainless steel</t>
  </si>
  <si>
    <t>Cleaning groove for soiled grill bars</t>
  </si>
  <si>
    <t>Grill parts fit inside stainless steel tube for easy and compact storage</t>
  </si>
  <si>
    <t>Bail for hanging in storage</t>
  </si>
  <si>
    <t>Includes 1 thick tube with a stopper, 1 thin tube with a cleaning groove, 2 outer grill rods with hooks and threads, 10 grill rods, 4 grill feet</t>
  </si>
  <si>
    <t>Hot Grips™ are heat-resistant, silicone rubber finger grips that allow you to touch the hot grill, pan or foods</t>
  </si>
  <si>
    <t>Hot Dog Zone has narrower spacing between grill rods to keep smaller foods on the grill</t>
  </si>
  <si>
    <t>Collapsible grill serves 4-6 people</t>
  </si>
  <si>
    <t>Constructed from dishwasher safe stainless steel with adjustable-height aluminum legs; Tension-Interlock System™ provides extra support and stability for heavier foods</t>
  </si>
  <si>
    <t>Components conveniently store inside the side rails and are capped with the Hot Grips grill grabbers</t>
  </si>
  <si>
    <t>Includes 2 side rails, 18 grill rods, 2 tension bars, 4 grill legs, and 2 Hot Grips™</t>
  </si>
  <si>
    <t>Dimensions-packed: 17" x 1.75" (43 cm x 4 cm); Dimensions-bbq area: 16" x 17" (41 cm x 43 cm); Weight: 2 lbs. (0.91 kg)</t>
  </si>
  <si>
    <t>Party grilling just got easier! The lightweight, portable, stainless steel Grilliput Quattro assembles in a flash and cooks up enough grub for four or more people. Grab it for your next tailgating party or campground cookout—it handles the beefiest of menus, has a “Hot Dog Zone” for smaller foods, cleans up like a champ and breaks down in a cool 30 seconds.</t>
  </si>
  <si>
    <t>Bright LED provides a diffused white light, in lantern mode, up to 118 lumens</t>
  </si>
  <si>
    <t>Burns up to 130 hours</t>
  </si>
  <si>
    <t>On/off button switches light levels from high to medium to low light to conserve batteries or strobe for emergency situations</t>
  </si>
  <si>
    <t>Mini Kit</t>
  </si>
  <si>
    <t>Includes Mini Candle Lantern, UCO 4-hour tealight candles x2, UCO citronella tealight candles x2, and a fleece bag for storage</t>
  </si>
  <si>
    <t>Dimensions: 4" high x 2.25" diameter (10 cm x 6 cm); Weight (w/ candle): 3.5 oz. (99 g); Candle: Tealight candle with 4-5 hour burn time each</t>
  </si>
  <si>
    <t>Tealight candles burn 4-5 hours each; Citronella oil is mixed into the paraffin for the citronella tealights</t>
  </si>
  <si>
    <t>Dimensions: 4" high x 2.25" diameter (10 cm x 6 cm); Weight (w/ candle): 3.5 oz. (99 g); Candle: Tealight candle with 4-5 hour burn time</t>
  </si>
  <si>
    <t>Esbit® Emergency Stove: Folds into cooking position, then flat again for several uses; constructed from durable, galvanized steel—lightweight and pliable.</t>
  </si>
  <si>
    <t>Esbit® Solid Fuel Tablets x3: Large 14 g solid fuel tablets burn about 12 minutes each; individually packaged for one at a time usage</t>
  </si>
  <si>
    <t>Survival Stormproof Match Kit™: 15 Survival Stormproof Matches™—windproof, waterproof, and burn up to 12 seconds</t>
  </si>
  <si>
    <t>Contents store easily inside zippered pouch</t>
  </si>
  <si>
    <t>Narrow Fillet Knife 9180P</t>
  </si>
  <si>
    <t>Narrow Fillet Knife 9197P</t>
  </si>
  <si>
    <t>Wide Fillet Knife 9210P</t>
  </si>
  <si>
    <t>Narrow Fillet Knife 9151P</t>
  </si>
  <si>
    <t>Narrow Fillet Knife 9160P</t>
  </si>
  <si>
    <t>Narrow Fillet Knife 8197UG</t>
  </si>
  <si>
    <t>Narrow Fillet Knife 9218PG</t>
  </si>
  <si>
    <t>Narrow Fillet Knife 9180PG</t>
  </si>
  <si>
    <t>Wide Fillet Knife 9210PG</t>
  </si>
  <si>
    <t>M-1-1502</t>
  </si>
  <si>
    <t>M-12002</t>
  </si>
  <si>
    <t>Hangtag w/Polybag</t>
  </si>
  <si>
    <t>E-ST300S</t>
  </si>
  <si>
    <t>HAPPY</t>
  </si>
  <si>
    <t>GR-OR-BL</t>
  </si>
  <si>
    <t>COCO</t>
  </si>
  <si>
    <t>~7.9</t>
  </si>
  <si>
    <t>~0.6</t>
  </si>
  <si>
    <t>3.5/7.1</t>
  </si>
  <si>
    <t>Clamshell</t>
  </si>
  <si>
    <t>P-UC</t>
  </si>
  <si>
    <t>BaseClamp</t>
  </si>
  <si>
    <t>BaseClamp 2.5</t>
  </si>
  <si>
    <t>STD</t>
  </si>
  <si>
    <t>Flavor Fountain 4-Pack Assortment</t>
  </si>
  <si>
    <t>2.5/3.5</t>
  </si>
  <si>
    <t>4.25/6.5</t>
  </si>
  <si>
    <t>4.75/7</t>
  </si>
  <si>
    <t>4.5/6.5</t>
  </si>
  <si>
    <t>4.75/6.75</t>
  </si>
  <si>
    <t>5.25/7.75</t>
  </si>
  <si>
    <t>Polished Silver</t>
  </si>
  <si>
    <t>Matte Grey</t>
  </si>
  <si>
    <t>Matte Silver</t>
  </si>
  <si>
    <t>0.40 R, 0.43 C</t>
  </si>
  <si>
    <t>0.51 R, 0.54 C</t>
  </si>
  <si>
    <t>0.62 R, 0.66 C</t>
  </si>
  <si>
    <t>0.14 R, 0.16 C/M</t>
  </si>
  <si>
    <t>1.18 R, 1.10 C/M</t>
  </si>
  <si>
    <t>0.30 R, 0.31 C</t>
  </si>
  <si>
    <t>0.17 R, 0.18 C/M</t>
  </si>
  <si>
    <t>0.20 R, 0.17 C/M</t>
  </si>
  <si>
    <t>0.11 C/M, 0.12 R</t>
  </si>
  <si>
    <t>Knife with a 3.2 mm thick black, anticorrosive-coated carbon steel blade</t>
  </si>
  <si>
    <t>0.22 R, 0.19 M</t>
  </si>
  <si>
    <t>P-UPGRIP</t>
  </si>
  <si>
    <r>
      <t>UltraPod Grip</t>
    </r>
    <r>
      <rPr>
        <sz val="10"/>
        <rFont val="Calibri"/>
        <family val="2"/>
      </rPr>
      <t>™</t>
    </r>
  </si>
  <si>
    <r>
      <t>UltraPod II</t>
    </r>
    <r>
      <rPr>
        <sz val="10"/>
        <rFont val="Calibri"/>
        <family val="2"/>
      </rPr>
      <t>™</t>
    </r>
  </si>
  <si>
    <r>
      <t>UltraPod Go</t>
    </r>
    <r>
      <rPr>
        <sz val="10"/>
        <rFont val="Calibri"/>
        <family val="2"/>
      </rPr>
      <t>™</t>
    </r>
  </si>
  <si>
    <r>
      <t>UltraPod</t>
    </r>
    <r>
      <rPr>
        <sz val="10"/>
        <rFont val="Calibri"/>
        <family val="2"/>
      </rPr>
      <t>™</t>
    </r>
    <r>
      <rPr>
        <sz val="10"/>
        <rFont val="Arial"/>
        <family val="2"/>
      </rPr>
      <t xml:space="preserve"> - Blue</t>
    </r>
  </si>
  <si>
    <r>
      <t>UltraPod</t>
    </r>
    <r>
      <rPr>
        <sz val="10"/>
        <rFont val="Calibri"/>
        <family val="2"/>
      </rPr>
      <t>™</t>
    </r>
  </si>
  <si>
    <r>
      <t>Cellpod</t>
    </r>
    <r>
      <rPr>
        <sz val="10"/>
        <rFont val="Calibri"/>
        <family val="2"/>
      </rPr>
      <t>™</t>
    </r>
    <r>
      <rPr>
        <sz val="10"/>
        <rFont val="Arial"/>
        <family val="2"/>
      </rPr>
      <t xml:space="preserve"> Adapter</t>
    </r>
  </si>
  <si>
    <t>UltraClamp™</t>
  </si>
  <si>
    <t>UltraClamp™ 2.5</t>
  </si>
  <si>
    <t>UltraClamp™ 360°</t>
  </si>
  <si>
    <t>UltraClamp™ 4.0</t>
  </si>
  <si>
    <t>UltraClamp™ - No Package</t>
  </si>
  <si>
    <t>UltraMount™ 360°</t>
  </si>
  <si>
    <t>UltraMount™ - No Package</t>
  </si>
  <si>
    <t>Magnetic UltraMount™</t>
  </si>
  <si>
    <t>UltraMount™</t>
  </si>
  <si>
    <t>2.3 x 0.65 x 1.4</t>
  </si>
  <si>
    <t>21-26</t>
  </si>
  <si>
    <t xml:space="preserve">Classic Wood Splitter </t>
  </si>
  <si>
    <t>Boron &amp; Stainless Steel</t>
  </si>
  <si>
    <t>Master Carton - GTIN</t>
  </si>
  <si>
    <t>Inner Carton - GTIN</t>
  </si>
  <si>
    <t>054269001568</t>
  </si>
  <si>
    <t>4.5625/6.375</t>
  </si>
  <si>
    <t>YayLabs!</t>
  </si>
  <si>
    <t>FireLighting Kit</t>
  </si>
  <si>
    <t>Extra-Medium</t>
  </si>
  <si>
    <t>Dimensions–open: 6.5" high x 2" diameter (17 cm x 5 cm); Dimensions–closed: 4.25" high x 2" diameter (11 cm x 5 cm); Weight (w/ candle): 7.2 oz. (204 g); Candle: UCO 9-hour or citronella candles, or 12-hour beeswax candles</t>
  </si>
  <si>
    <t>054269001575</t>
  </si>
  <si>
    <t>Individual Item Unpackaged Height (in) (closed/open)</t>
  </si>
  <si>
    <t>Burn Time (up to): 25 seconds; Length: 4.125" (10.5 cm); Weight: 3.4 oz. (95 g)</t>
  </si>
  <si>
    <t>Burn Time (up to): 25 seconds; Length: 4.125" (10.5 cm); Weight (Kit): 2.8 oz. (80 g)</t>
  </si>
  <si>
    <t>A colorful outdoor knife with Swedish FireSteel® fire starter. The Swedish FireKnife™ is a collaboration between Light My Fire and Mora of Sweden, and we could hardly have picked a better partner. Mora has made top-notch knives for 120 years. But this is more than just an extremely sharp, flexible, and sturdy all-around knife: the handle contains a fire starter. In other words, you can gut and clean a fish, split kindling and light a campfire with one single handy tool.</t>
  </si>
  <si>
    <t>Three refillable compartments for various spices.</t>
  </si>
  <si>
    <t>Airtight, shock-resistant, and waterproof.</t>
  </si>
  <si>
    <t>Rubber gasket keeps spices fresh.</t>
  </si>
  <si>
    <t>End opening to shake out just the spices you need.</t>
  </si>
  <si>
    <t>Fits inside a SnapBox original inside a LunchKit or MealKit 2.0.</t>
  </si>
  <si>
    <t>Floats.</t>
  </si>
  <si>
    <t>LunchKit includes: 1 lid/plate, 1 plate/bowl, 1 Spork original, 1 SnapBox original, 1 SnapBox oval, and 1 Harness.</t>
  </si>
  <si>
    <r>
      <t>Easy to clean</t>
    </r>
    <r>
      <rPr>
        <sz val="10"/>
        <rFont val="Calibri"/>
        <family val="2"/>
      </rPr>
      <t>—</t>
    </r>
    <r>
      <rPr>
        <sz val="10"/>
        <rFont val="Arial"/>
        <family val="2"/>
      </rPr>
      <t>stain and odor resistant.</t>
    </r>
  </si>
  <si>
    <t>MealKit 2.0 includes: 1 lid/plate, 1 plate/bowl, 1 SnapBox original, 1 SnapBox oval, 1 Pack-up-Cup, 1 strainer/cutting board, 1 Spork original, and 1 Harness.</t>
  </si>
  <si>
    <t>The newest version of our popular messkit is the ideal kit for your backpack, boat, bike, or picnic basket. It has all you need to prepare and eat a meal in all outdoor environments. The MealKit 2.0™ comes with a number of features and functions: two plates, a foldable Pack-up-Cup with a lid (260 ml), a combined strainer and cutting board, a Spork original (spoon-fork-knife combo), and two waterproof SnapBoxes in different shapes and sizes. Also comes with a harness to keep everything neatly packed.</t>
  </si>
  <si>
    <t>Contains 2 Light My Fire Spork extra-medium.</t>
  </si>
  <si>
    <t>Contains 2 Light My Fire Spork large.</t>
  </si>
  <si>
    <t>Contains 2 Light My Fire Spork leftys.</t>
  </si>
  <si>
    <t>Contains 2 Light My Fire Grandpa's FireForks.</t>
  </si>
  <si>
    <t>Promotion Displays</t>
  </si>
  <si>
    <t>CocoShell</t>
  </si>
  <si>
    <t>Inner Carton EAN</t>
  </si>
  <si>
    <t>Spirit - cy/li/gr/fu</t>
  </si>
  <si>
    <t>Master Carton EAN</t>
  </si>
  <si>
    <t>Master Carton ITF14</t>
  </si>
  <si>
    <t>7331423100200</t>
  </si>
  <si>
    <t>7331423100217</t>
  </si>
  <si>
    <t>7331423100224</t>
  </si>
  <si>
    <t>7331423200368</t>
  </si>
  <si>
    <t>17331423200365</t>
  </si>
  <si>
    <t>7331423200375</t>
  </si>
  <si>
    <t>17331423200372</t>
  </si>
  <si>
    <t>7331423200382</t>
  </si>
  <si>
    <t>17331423200389</t>
  </si>
  <si>
    <t>Spirit - cy/li/gr/fu/or/bl</t>
  </si>
  <si>
    <t>Bulk - plastic bag</t>
  </si>
  <si>
    <t>Tinder-on-a-Rope™</t>
  </si>
  <si>
    <t>7331423200177</t>
  </si>
  <si>
    <t>17331423200174</t>
  </si>
  <si>
    <t>7331423200184</t>
  </si>
  <si>
    <t>17331423200181</t>
  </si>
  <si>
    <t>7331423200191</t>
  </si>
  <si>
    <t>17331423200198</t>
  </si>
  <si>
    <t>17331423200204</t>
  </si>
  <si>
    <t>Spirit - li/cy, gr/bl, fu/or</t>
  </si>
  <si>
    <t>Fuschia &amp; Orange</t>
  </si>
  <si>
    <t>Spirit - bl/or, fu/cy, li/gr</t>
  </si>
  <si>
    <t>8108.90.3060</t>
  </si>
  <si>
    <r>
      <t>Spork original</t>
    </r>
    <r>
      <rPr>
        <sz val="10"/>
        <rFont val="Calibri"/>
        <family val="2"/>
      </rPr>
      <t>™</t>
    </r>
    <r>
      <rPr>
        <sz val="10"/>
        <rFont val="Arial"/>
        <family val="2"/>
      </rPr>
      <t>, 4-Pack</t>
    </r>
  </si>
  <si>
    <t>Element - gr/rd/cy/or</t>
  </si>
  <si>
    <r>
      <t>Spork original</t>
    </r>
    <r>
      <rPr>
        <sz val="10"/>
        <color theme="1"/>
        <rFont val="Calibri"/>
        <family val="2"/>
      </rPr>
      <t>™</t>
    </r>
    <r>
      <rPr>
        <sz val="10"/>
        <color theme="1"/>
        <rFont val="Arial"/>
        <family val="2"/>
      </rPr>
      <t>, 4-Pack</t>
    </r>
  </si>
  <si>
    <t>2LICYTGRTB</t>
  </si>
  <si>
    <t>Individual Item Unpackaged Length (in)</t>
  </si>
  <si>
    <t>Individual Item Packaged Length (in)</t>
  </si>
  <si>
    <t>Inner Pack Length (in)</t>
  </si>
  <si>
    <t>Master Length (in)</t>
  </si>
  <si>
    <t>3TPFUTOORG</t>
  </si>
  <si>
    <t>Sunset - t.pi/fu/t.or/or</t>
  </si>
  <si>
    <t>Ocean - t.gr/li/t.bl/cy</t>
  </si>
  <si>
    <t>4LIBLGRORG</t>
  </si>
  <si>
    <t>Wild Element - li/bl/gr/or</t>
  </si>
  <si>
    <t>FULLSPIRIT</t>
  </si>
  <si>
    <t>Full Spirit - cy/li/gr/fu/or/bl</t>
  </si>
  <si>
    <t>TB-CY</t>
  </si>
  <si>
    <t>TP-FU</t>
  </si>
  <si>
    <t>TG-GR</t>
  </si>
  <si>
    <t>TO-OR</t>
  </si>
  <si>
    <t>LI-PU</t>
  </si>
  <si>
    <t>SILVER</t>
  </si>
  <si>
    <t>TRNBLUE</t>
  </si>
  <si>
    <t>TRNGREEN</t>
  </si>
  <si>
    <t>TRNORANGE</t>
  </si>
  <si>
    <t>Happy - t.gr/t.bl/t.pi/t.or</t>
  </si>
  <si>
    <t>Spork original™ Plexi + 200 pcs</t>
  </si>
  <si>
    <t>Spork original™ Plexi + 60 pcs</t>
  </si>
  <si>
    <t>GRN-CY</t>
  </si>
  <si>
    <t>RED-ORANGE</t>
  </si>
  <si>
    <t>Red &amp; Pink</t>
  </si>
  <si>
    <t>Fuchsia &amp; Orange</t>
  </si>
  <si>
    <t>Red &amp; Orange</t>
  </si>
  <si>
    <t>Green &amp; Cyan</t>
  </si>
  <si>
    <t>Spirit - li/gr, fu/cy, bl/or</t>
  </si>
  <si>
    <r>
      <t>Spork little</t>
    </r>
    <r>
      <rPr>
        <sz val="10"/>
        <color theme="1"/>
        <rFont val="Calibri"/>
        <family val="2"/>
      </rPr>
      <t>™,</t>
    </r>
    <r>
      <rPr>
        <sz val="10"/>
        <color theme="1"/>
        <rFont val="Arial"/>
        <family val="2"/>
      </rPr>
      <t xml:space="preserve"> 3-pack w/in Plexi</t>
    </r>
  </si>
  <si>
    <r>
      <t>Spork little</t>
    </r>
    <r>
      <rPr>
        <sz val="10"/>
        <rFont val="Calibri"/>
        <family val="2"/>
      </rPr>
      <t>™</t>
    </r>
    <r>
      <rPr>
        <sz val="10"/>
        <rFont val="Arial"/>
        <family val="2"/>
      </rPr>
      <t xml:space="preserve"> Plexitube + 40 pcs of 3-Packs</t>
    </r>
  </si>
  <si>
    <t>Spirit - li/cy/fu, cy/li/pbl, fu/or/pi</t>
  </si>
  <si>
    <t>Lime, Cyan, &amp; Fuchsia</t>
  </si>
  <si>
    <t>Cyan, Lime, &amp; Passion Blue</t>
  </si>
  <si>
    <t>Fuchsia, Orange, &amp; Pink</t>
  </si>
  <si>
    <t>within Plexitube</t>
  </si>
  <si>
    <r>
      <t>Spork little</t>
    </r>
    <r>
      <rPr>
        <sz val="10"/>
        <rFont val="Calibri"/>
        <family val="2"/>
      </rPr>
      <t>™</t>
    </r>
    <r>
      <rPr>
        <sz val="10"/>
        <rFont val="Arial"/>
        <family val="2"/>
      </rPr>
      <t>, 3-Pack</t>
    </r>
  </si>
  <si>
    <t>CY-LI-PBLU</t>
  </si>
  <si>
    <t>FU-ORG-PI</t>
  </si>
  <si>
    <t>LI-CY-FU</t>
  </si>
  <si>
    <t>17331423201096</t>
  </si>
  <si>
    <t>7331423007158</t>
  </si>
  <si>
    <t>7331423008254</t>
  </si>
  <si>
    <t>17331423201188</t>
  </si>
  <si>
    <t>6307.90.9889</t>
  </si>
  <si>
    <t>7331423200221</t>
  </si>
  <si>
    <t>17331423200228</t>
  </si>
  <si>
    <t>7331423200238</t>
  </si>
  <si>
    <t>17331423200235</t>
  </si>
  <si>
    <t>7331423200252</t>
  </si>
  <si>
    <t>17331423200259</t>
  </si>
  <si>
    <t>7331423200276</t>
  </si>
  <si>
    <t>17331423200273</t>
  </si>
  <si>
    <t>7331423200269</t>
  </si>
  <si>
    <t>17331423200266</t>
  </si>
  <si>
    <t>17331423200280</t>
  </si>
  <si>
    <t>Lime, Fuchsia, &amp; Cyan</t>
  </si>
  <si>
    <t>Green, Orange, &amp; Black</t>
  </si>
  <si>
    <t>original</t>
  </si>
  <si>
    <t>oval</t>
  </si>
  <si>
    <r>
      <t>Salt &amp; Pepper Plus</t>
    </r>
    <r>
      <rPr>
        <b/>
        <sz val="12"/>
        <rFont val="Calibri"/>
        <family val="2"/>
      </rPr>
      <t>™</t>
    </r>
  </si>
  <si>
    <r>
      <t>SnapBox</t>
    </r>
    <r>
      <rPr>
        <b/>
        <sz val="12"/>
        <rFont val="Calibri"/>
        <family val="2"/>
      </rPr>
      <t>™</t>
    </r>
  </si>
  <si>
    <t>ORG-BLK</t>
  </si>
  <si>
    <t>Element - gr/cy, rd/or</t>
  </si>
  <si>
    <t>Orange &amp; Black</t>
  </si>
  <si>
    <t>Cord w/ Hangtag</t>
  </si>
  <si>
    <t>Cord w/ Wrap</t>
  </si>
  <si>
    <t>Assorted - Outdoor</t>
  </si>
  <si>
    <t>Lime &amp; Green, Orange &amp; Cyan</t>
  </si>
  <si>
    <t>S-CPID-SPORK80S</t>
  </si>
  <si>
    <t>S-CPID-SPORK80P</t>
  </si>
  <si>
    <t>S-P-ULTIMATESPORK</t>
  </si>
  <si>
    <r>
      <t>Spork little</t>
    </r>
    <r>
      <rPr>
        <sz val="10"/>
        <rFont val="Calibri"/>
        <family val="2"/>
      </rPr>
      <t>™</t>
    </r>
    <r>
      <rPr>
        <sz val="10"/>
        <rFont val="Arial"/>
        <family val="2"/>
      </rPr>
      <t>, 36-count, 3-pack, Display</t>
    </r>
  </si>
  <si>
    <r>
      <t>Spork titanium</t>
    </r>
    <r>
      <rPr>
        <sz val="10"/>
        <rFont val="Calibri"/>
        <family val="2"/>
      </rPr>
      <t>™</t>
    </r>
    <r>
      <rPr>
        <sz val="10"/>
        <rFont val="Arial"/>
        <family val="2"/>
      </rPr>
      <t>, 18-count, Display</t>
    </r>
  </si>
  <si>
    <r>
      <t>Spork original</t>
    </r>
    <r>
      <rPr>
        <sz val="10"/>
        <rFont val="Calibri"/>
        <family val="2"/>
      </rPr>
      <t>™</t>
    </r>
    <r>
      <rPr>
        <sz val="10"/>
        <rFont val="Arial"/>
        <family val="2"/>
      </rPr>
      <t>, 120-count, Display</t>
    </r>
  </si>
  <si>
    <r>
      <t>Grandpa's FireFork</t>
    </r>
    <r>
      <rPr>
        <sz val="10"/>
        <rFont val="Calibri"/>
        <family val="2"/>
      </rPr>
      <t>™</t>
    </r>
    <r>
      <rPr>
        <sz val="10"/>
        <rFont val="Arial"/>
        <family val="2"/>
      </rPr>
      <t>, 24-count, Display</t>
    </r>
  </si>
  <si>
    <r>
      <t>Swedish FireSteel 2.0</t>
    </r>
    <r>
      <rPr>
        <sz val="10"/>
        <rFont val="Calibri"/>
        <family val="2"/>
      </rPr>
      <t>®</t>
    </r>
    <r>
      <rPr>
        <sz val="10"/>
        <rFont val="Arial"/>
        <family val="2"/>
      </rPr>
      <t xml:space="preserve"> scout, 16-count, Display</t>
    </r>
  </si>
  <si>
    <r>
      <t>Grill'n Chill Kit</t>
    </r>
    <r>
      <rPr>
        <sz val="10"/>
        <rFont val="Calibri"/>
        <family val="2"/>
      </rPr>
      <t>™</t>
    </r>
    <r>
      <rPr>
        <sz val="10"/>
        <rFont val="Arial"/>
        <family val="2"/>
      </rPr>
      <t xml:space="preserve"> Promotion, 24-count, Display</t>
    </r>
  </si>
  <si>
    <r>
      <t>Ultimate Spork Kit</t>
    </r>
    <r>
      <rPr>
        <sz val="10"/>
        <rFont val="Calibri"/>
        <family val="2"/>
      </rPr>
      <t>™</t>
    </r>
    <r>
      <rPr>
        <sz val="10"/>
        <rFont val="Arial"/>
        <family val="2"/>
      </rPr>
      <t xml:space="preserve"> Promotion, 24-count, Display</t>
    </r>
  </si>
  <si>
    <r>
      <t>Spork original</t>
    </r>
    <r>
      <rPr>
        <sz val="10"/>
        <rFont val="Calibri"/>
        <family val="2"/>
      </rPr>
      <t>™</t>
    </r>
    <r>
      <rPr>
        <sz val="10"/>
        <rFont val="Arial"/>
        <family val="2"/>
      </rPr>
      <t>, 80-count, Display</t>
    </r>
  </si>
  <si>
    <t>Peacock - pm/pet/si/pg</t>
  </si>
  <si>
    <t>PETROLEUM</t>
  </si>
  <si>
    <t>Petroleum</t>
  </si>
  <si>
    <t>PINK METAL</t>
  </si>
  <si>
    <t>Pink Metal</t>
  </si>
  <si>
    <t>PIRATE GOLD</t>
  </si>
  <si>
    <t>Pirate Gold</t>
  </si>
  <si>
    <t>Petroleum &amp; Silver</t>
  </si>
  <si>
    <t>PEACOCK</t>
  </si>
  <si>
    <r>
      <t>Add-a-Twist</t>
    </r>
    <r>
      <rPr>
        <sz val="10"/>
        <rFont val="Calibri"/>
        <family val="2"/>
      </rPr>
      <t>™</t>
    </r>
  </si>
  <si>
    <t>Spring 2016</t>
  </si>
  <si>
    <t>Blue Haze</t>
  </si>
  <si>
    <t>7331423009985</t>
  </si>
  <si>
    <t>7331423010004</t>
  </si>
  <si>
    <t>7331423009992</t>
  </si>
  <si>
    <t>7331423201099</t>
  </si>
  <si>
    <t>7331423201181</t>
  </si>
  <si>
    <t>7331423200283</t>
  </si>
  <si>
    <t>Fall 2016</t>
  </si>
  <si>
    <t>Lime, Green, Black, Orange, Fuchsia</t>
  </si>
  <si>
    <t>Mora of Sweden makes this flexible and sturdy blade of Sandvik 12C27 stainless steel with a Scandinavian grind.</t>
  </si>
  <si>
    <t>Sturdy, half-tang blade.</t>
  </si>
  <si>
    <t>High-friction, anti-slip rubber handle.</t>
  </si>
  <si>
    <t>Polypropylene sheath with drain hole and belt clip.</t>
  </si>
  <si>
    <t>Includes an original Swedish FireSteel® Scout fire starter to be used with the specially ground back of the knife—lasts approximately 3,000 strikes.</t>
  </si>
  <si>
    <t>Reliable performance at all altitudes and in cold weather—2,980°C (5,400°F) spark.</t>
  </si>
  <si>
    <t>Dimensions (in sheath): 8.9" x 1.8" x 1.5" (225 mm x 45 mm x 38 mm); Knife Length: 8.5" (215 mm); Blade Length: 3.75" (95 mm); Blade Thickness: 0.07" (1.9 mm); Weight (w/ sheath): 3.4 oz. (94 g)</t>
  </si>
  <si>
    <r>
      <t>You know a great idea when you see it</t>
    </r>
    <r>
      <rPr>
        <sz val="10"/>
        <color indexed="8"/>
        <rFont val="Calibri"/>
        <family val="2"/>
      </rPr>
      <t>—</t>
    </r>
    <r>
      <rPr>
        <sz val="10"/>
        <color indexed="8"/>
        <rFont val="Arial"/>
        <family val="2"/>
      </rPr>
      <t>simple, obvious, yet completely new. This is how people react to our products. From making fires to eating meals</t>
    </r>
    <r>
      <rPr>
        <sz val="10"/>
        <color indexed="8"/>
        <rFont val="Calibri"/>
        <family val="2"/>
      </rPr>
      <t>—</t>
    </r>
    <r>
      <rPr>
        <sz val="10"/>
        <color indexed="8"/>
        <rFont val="Arial"/>
        <family val="2"/>
      </rPr>
      <t>our outdoor accessories are loved by both backyard adventurers and backwoods survivalists. From the moment you first hold our products in your hand, you'll want them...and so will your family and friends. Based in Sweden, Light My Fire specializes in outdoor accessories that are as practical in the city as they are in the wild. To learn more or connect with Light My Fire of Sweden visit them at www.lightmyfire.com.</t>
    </r>
  </si>
  <si>
    <t>Made in Sweden</t>
  </si>
  <si>
    <r>
      <t>Replacement FireSteel® Scout fire starter for the Swedish FireKnife</t>
    </r>
    <r>
      <rPr>
        <sz val="10"/>
        <rFont val="Calibri"/>
        <family val="2"/>
      </rPr>
      <t>™</t>
    </r>
  </si>
  <si>
    <t>Durable - Scout model lasts approximately 3,000 strikes.</t>
  </si>
  <si>
    <t>Bright spark - can be used as emergency signal.</t>
  </si>
  <si>
    <t>Reliable performance at all altitudes and in cold, wet weather.</t>
  </si>
  <si>
    <t>Produces a 2,980°C (5,400°F) spark</t>
  </si>
  <si>
    <t>The replacement Swedish FireSteel Scout for the Swedish FireKnife is a flash of genius. Its 2,980°C spark makes fire building easy in any weather, at any altitude. Swedish FireSteel's dependability has already made it a favorite of survival experts, hunters, fishermen and campers. It has also found its way into cabins and backyards as a fool-proof way to light stoves and gas-barbecues.</t>
  </si>
  <si>
    <t>Durable—lasts approximately 3,000 strikes.</t>
  </si>
  <si>
    <t>Ignites all tinder and can be used for campfires, gas stoves, and gas barbecues.</t>
  </si>
  <si>
    <t>Works equally well when wet.</t>
  </si>
  <si>
    <t>Striker handle includes a built-in emergency whistle.</t>
  </si>
  <si>
    <t>Bright spark can be used as an emergency signal.</t>
  </si>
  <si>
    <t>Material: Swedish FireSteel - magnesium alloy, striker - Stainless steel; Weight: 0.95 oz. (27 g)</t>
  </si>
  <si>
    <t>Durable—lasts approximately 12,000 strikes.</t>
  </si>
  <si>
    <t>Material: Swedish FireSteel - magnesium alloy, striker - Stainless steel; Weight: 1.8 oz. (50 g)</t>
  </si>
  <si>
    <t>Originally developed for the Swedish Department of Defense, our legendary Swedish FireSteel® is the original fire starter. Being the best, however, means always having to push the envelope. The result was a newer generation with an improved striker that makes it even easier to build a fire in any weather, at any altitude. Our second generation Swedish FireSteel 2.0® also features a new design, a lanyard, and a built-in emergency whistle. The Swedish FireSteel's dependability and intense, close to 2,980°C (5,400°F) sparks, have long made it a favorite of survival experts, hunters, fishermen, and campers. It has also found its way into cabins and backyards as a foolproof way to light stoves and gas barbecues.</t>
  </si>
  <si>
    <t>Originally developed for the Swedish Department of Defense, Swedish FireSteel® fire starter is a flash of genius. Its 2,980°C (5,400°F) spark makes fire building easy in any weather, at any altitude. Used by a number of armies around the world, Swedish FireSteel's dependability has already made it a favorite of survival experts, hunters, fishermen, and campers. It has also found its way into cabins and backyards as a foolproof way to light stoves and gas barbecues.</t>
  </si>
  <si>
    <t>Material: Swedish FireSteel - magnesium alloy, striker - Stainless steel; Weight: 1.1 oz. (31 g)</t>
  </si>
  <si>
    <t>Material: Swedish FireSteel - magnesium alloy, striker - Stainless steel; Weight: 1.9 oz. (51 g)</t>
  </si>
  <si>
    <t>Having a hard time finding the perfect gift for someone for the holidays or a birthday, anniversary, or 'just because' gift? Why not give the tools and share the skills necessary to build a fire in the outdoors! The Fire Lighting Kit comes with a Swedish FireSteel® 2.0 Scout with its 2,980°C (5,400°F) spark that makes fire building easy in any weather, at any altitude. The perfect companion to the Scout is the Tinder-on-a-Rope with its 80% resin content—carve off some shavings that are easy to light and it'll work even when wet since it is the resin (oil) that burns, not the wood. A fire wouldn't be complete without roasting some hotdogs or making some s'mores! Grandpa's FireFork makes roasting marshmallows, hot dogs, and anything else easy as it simply attaches to practically any stick.</t>
  </si>
  <si>
    <r>
      <rPr>
        <b/>
        <sz val="10"/>
        <rFont val="Arial"/>
        <family val="2"/>
      </rPr>
      <t>Swedish FireSteel® 2.0 Scout:</t>
    </r>
    <r>
      <rPr>
        <sz val="10"/>
        <rFont val="Arial"/>
        <family val="2"/>
      </rPr>
      <t xml:space="preserve"> Reliable performance at all altitudes and in cold weather—2,980°C (5,400°F) spark. Durable—lasts approximately 3,000 strikes. Ignites all tinder and can be used for campfires, gas stoves, and gas barbecues. Works equally well when wet. Striker handle includes a built-in emergency whistle. Bright spark can be used as an emergency signal.
</t>
    </r>
  </si>
  <si>
    <r>
      <rPr>
        <b/>
        <sz val="10"/>
        <rFont val="Arial"/>
        <family val="2"/>
      </rPr>
      <t>Tinder-on-a-Rope™:</t>
    </r>
    <r>
      <rPr>
        <sz val="10"/>
        <rFont val="Arial"/>
        <family val="2"/>
      </rPr>
      <t xml:space="preserve"> Made from Pinus Montezumae (fatwood) stumps—no chemical additives. Easy to light, even when wet. 100% natural and environmentally-friendly fire starter. Produces an extremely hot flame—up to 80% resin content. Handy cord attaches to belt or backpack.</t>
    </r>
  </si>
  <si>
    <r>
      <rPr>
        <b/>
        <sz val="10"/>
        <rFont val="Arial"/>
        <family val="2"/>
      </rPr>
      <t xml:space="preserve">Grandpa's FireFork™: </t>
    </r>
    <r>
      <rPr>
        <sz val="10"/>
        <rFont val="Arial"/>
        <family val="2"/>
      </rPr>
      <t>Curved points hold food firmly—also works well as a fire poker. No need to cut branches—attaches to practically any stick. Made from a single stainless steel wire. Safety cap for easy storage. Hole in safety cap allows cord to be attached.</t>
    </r>
  </si>
  <si>
    <r>
      <rPr>
        <b/>
        <sz val="10"/>
        <rFont val="Arial"/>
        <family val="2"/>
      </rPr>
      <t>Swedish FireSteel® 2.0 Scout:</t>
    </r>
    <r>
      <rPr>
        <sz val="10"/>
        <rFont val="Arial"/>
        <family val="2"/>
      </rPr>
      <t xml:space="preserve"> Material: Swedish FireSteel - magnesium alloy; Striker - Stainless steel; Weight: 0.95 oz. (27 g)
</t>
    </r>
    <r>
      <rPr>
        <b/>
        <sz val="10"/>
        <rFont val="Arial"/>
        <family val="2"/>
      </rPr>
      <t>Tinder-on-a-Rope™:</t>
    </r>
    <r>
      <rPr>
        <sz val="10"/>
        <rFont val="Arial"/>
        <family val="2"/>
      </rPr>
      <t xml:space="preserve"> Material: Pinus Montezumae stumps; Dimensions: 5.9" x 0.9" x 0.9" (15 cm x 2.2 cm x 2.2 cm); Weight: 1.8-2.5 oz. (50-70 g)
</t>
    </r>
    <r>
      <rPr>
        <b/>
        <sz val="10"/>
        <rFont val="Arial"/>
        <family val="2"/>
      </rPr>
      <t>Grandpa's FireFork™:</t>
    </r>
    <r>
      <rPr>
        <sz val="10"/>
        <rFont val="Arial"/>
        <family val="2"/>
      </rPr>
      <t xml:space="preserve"> Material: Cap - Tritan™; Wire - Stainless spring steel; Dimensions: 3.9" x 1.9" x 0.8" (10 cm x 4.7 cm x 2 cm); Weight: 0.6 oz. (18 g)</t>
    </r>
  </si>
  <si>
    <t>Easy to light, even when wet.</t>
  </si>
  <si>
    <t>All natural and environmentally-friendly fire starter.</t>
  </si>
  <si>
    <t>Produces a hot flame—up to 80% resin content.</t>
  </si>
  <si>
    <t>The ultimate way to start a fire in any weather and it is all natural. Don't use harmful chemicals with noxious fumes to start your fire! TinderSticks™ are made from Pinus Montezumae, a cultivated, fatwood pine from the highlands of Guatemala and Mexico. With their 80% resin content, TinderSticks are extremely easy to light, work even when wet, and produce an extremely hot flame. One or 2 sticks will light any fire or BBQ. The perfect companion to Light My Fire's Swedish FireSteel 2.0® fire starter!</t>
  </si>
  <si>
    <t>Materials: Pinus Montezumae (fatwood) stumps; Dimensions-approximately: 7.9" x 0.6" x 0.6" (20 cm x 1.5 cm x 1.5 cm); Weight: 6.5-8 oz. (180-220 g)</t>
  </si>
  <si>
    <t>Handy cord attaches to belt or backpack—scrape and carve tinder when you need it.</t>
  </si>
  <si>
    <t>Materials: Pinus Montezumae (fatwood) stumps; Dimensions-approximately: 5.9" x 0.9" x 0.9" (15 cm x 2.2 cm x 2.2 cm); Weight: 1.8-2.5 oz. (50-70 g)</t>
  </si>
  <si>
    <t>The ultimate and natural way to start a fire in any weather. Don't use harmful chemicals with noxious fumes to start your fire! Our tinder starters are made of stumps from cultivated pine (fatwood) from the highlands of Guatemala and Mexico. With their 80% resin content, our tinder starters are extremely easy to light and work even when wet since it is the resin (oil) that burns not the wood. They burn long and hot and they are the perfect companion to our Swedish FireKnife™!</t>
  </si>
  <si>
    <t>A number of years ago, a man camping with his grandson took a single length of wire and fashioned it into the most versatile holder we've ever seen. Our Grandpa's FireFork™ is inspired by his ingenious design and is destined to become a modern classic. It's compact so you can travel anywhere with it—backpacking, camping, or wherever! Use it to grill marshmallows and hot dogs or just about anything else you can come up with. Attaches firmly to practically any stick; no need to cut fresh branches. Also makes a great fire-poker. Comes with a safety cap for easy and secure storage. Made of a single stainless steel wire to last and last.</t>
  </si>
  <si>
    <t>Materials: Cap—Tritan™; Wire—stainless spring steel; Dimensions: 3.9" x 1.9" x 0.8" (10 cm x 4.7 cm x 2 cm); Weight: 0.6 oz. (18 g)</t>
  </si>
  <si>
    <t>Contains 1 Swedish FireSteel 2.0 Scout, 1 Tinder-on-a-Rope, and 1 Grandpa's FireFork.</t>
  </si>
  <si>
    <t>Collapsible for easy storage.</t>
  </si>
  <si>
    <t>Made from durable stainless steel.</t>
  </si>
  <si>
    <t xml:space="preserve">Why limit yourself to sausages or marshmallows?  Now you can easily extend your vacation menu enjoying grilled veggies, newly caught fish, and tasty burgers. Simply attach Grandpa’s FireGrill to any stick, load up your FireGrill, relax at a comfotable distance from the fire and enjoy a wonderful outdoor BBQ on your plates. </t>
  </si>
  <si>
    <t>Spoon-fork-knife combo with serrated edge on side of fork.</t>
  </si>
  <si>
    <t>Extremely durable.</t>
  </si>
  <si>
    <t>Polished surface means no metallic taste.</t>
  </si>
  <si>
    <t>Non-corrosive and non-magnetic.</t>
  </si>
  <si>
    <t>Hypoallergenic.</t>
  </si>
  <si>
    <t>Material: Titanium; Length: 6.75" (17 cm); Weight: 0.7 oz. (20 g)</t>
  </si>
  <si>
    <t>The Spork Titanium is made of titanium, one of the toughest alloys on the planet. Titanium is widely used in aircraft construction because of its lightness and extreme strength, yet it is also used in the medical and sports industries. Its high biocompatibility means that it is very non-toxic plus it is hypoallergenic, non-corrosive, and non-magnetic. Great for your next outing, no matter where it is.</t>
  </si>
  <si>
    <t>Contains 4 Light My Fire Spork originals.</t>
  </si>
  <si>
    <t>Contains 2 Light My Fire Spork originals.</t>
  </si>
  <si>
    <t>Contains 1 Light My Fire Spork original, unpackaged.</t>
  </si>
  <si>
    <t>Spoon-fork-knife combo with a serrated edge on side of fork.</t>
  </si>
  <si>
    <t>Lightweight—only 0.3 oz. (9 g) each.</t>
  </si>
  <si>
    <t>Safe for non-stick cookware.</t>
  </si>
  <si>
    <t>Made from BPA-free Eastman Tritan™.</t>
  </si>
  <si>
    <t>Material: Tritan™; Length: 6.75" (17 cm); Weight/Spork: 0.3 oz. (9 g)</t>
  </si>
  <si>
    <t>Plexitube comes with 60 pieces in 4 colors and can be refilled with any variety of colors.</t>
  </si>
  <si>
    <t>Plexitube comes with 200 pieces in 4 colors and can be refilled with any variety of colors.</t>
  </si>
  <si>
    <t>The 600 million left-handed people in the world now have a Spork to call their own. Spork lefty has the same sleek Scandinavian curves, ruggedness, and versatility as the Spork original, only now specially designed to be used left handed. Available in original size and sold in twin packs in assorted colors.</t>
  </si>
  <si>
    <t>The Sporks'n Case makes it easier to bring along your Sporks regardless of if it's a hike, a trek, or a trip to the beach. With its snap closure, the Sporks'n Case keep your Sporks clean on the way out and your pack clean on the way home. Made of polypropylene material, the case is as tough as it is attractive. Eyelet allows it to be hung around your neck. Fits 1 or 2 Spork original, titanium or lefty. Comes with 2 BPA-Free Tritan™ Spork originals.</t>
  </si>
  <si>
    <t>Tight snap closure.</t>
  </si>
  <si>
    <t>Protective case includes 2  Light My Fire Spork originals.</t>
  </si>
  <si>
    <t>Eyelet for hanging.</t>
  </si>
  <si>
    <t>Fits up to two Spork originals, titaniums, or leftys.</t>
  </si>
  <si>
    <t>Material: Case—Polypropylene; Spork—BPA-free Eastman Tritan™; Dimensions: 7.5" x 1.8" x 1.1" (19 cm x 4.5cm x 2.9 cm); Weight (w/ 2 Sporks): 1.4 oz. (39 g)</t>
  </si>
  <si>
    <t>Some committed outdoor folks wanted something a bit longer than the Spork original for those deep, freeze-dried food pouches that are just a little too deep. So we added a slightly larger model (extra medium) to our assortment with the same features as our Spork original, only slightly longer and wider. The Spork extra-medium is perfect for stirring the ingredients at the bottom of that bag without putting your hand in your food. And just like the Spork original, the Spork extra-medium is perfect for your backpack, boat, picnic basket, lunchbox, purse, or briefcase.</t>
  </si>
  <si>
    <t>Contains 1 Light My Fire Spork extra-medium, unpackaged.</t>
  </si>
  <si>
    <t>Longer design for deep food-bags or pots.</t>
  </si>
  <si>
    <t>Designed for left-handed use, the Spork lefty is reversed from the original design for more effective and comfortable use.</t>
  </si>
  <si>
    <t>Dishwasher safe. Made from BPA-free Eastman Tritan™.</t>
  </si>
  <si>
    <t>Lightweight—only 0.6 oz. (18 g) each.</t>
  </si>
  <si>
    <t>Material: Tritan™; Length: 8" (20 cm); Weight/Spork: 0.6 oz. (18 g)</t>
  </si>
  <si>
    <t>Lightweight—only 1.1 oz. (32 g) each.</t>
  </si>
  <si>
    <t>Material: Tritan™; Length: 9.9" (25 cm); Weight/Spork: 1.1 oz. (32 g)</t>
  </si>
  <si>
    <t>You don't stir the pot with your teaspoon at home, so why do the same outdoors? The Spork large is just under 10" of pot stirring, burger flipping, pasta serving utility. No need to carry multiple cooking utensils when the Spork large covers all the bases. It is also perfect when paired up, for serving salads at home, pot luck events, and picnics.</t>
  </si>
  <si>
    <t>Contains 3 Light My Fire Spork littles.</t>
  </si>
  <si>
    <t>Contains 40 3-packs of Light My Fire Spork littles.</t>
  </si>
  <si>
    <r>
      <t>Designed for children</t>
    </r>
    <r>
      <rPr>
        <sz val="10"/>
        <rFont val="Calibri"/>
        <family val="2"/>
      </rPr>
      <t>—s</t>
    </r>
    <r>
      <rPr>
        <sz val="10"/>
        <rFont val="Arial"/>
        <family val="2"/>
      </rPr>
      <t>maller, thicker, and rounder Spork with no serrated edges for safety.</t>
    </r>
  </si>
  <si>
    <t>Lightweight—only 0.3 oz. (8 g) each.</t>
  </si>
  <si>
    <t>Material: Tritan™; Length: 5.5" (14 cm); Weight/Spork: 0.3 oz. (8 g)</t>
  </si>
  <si>
    <t>The Light My Fire Spork little has been designed from the ground up for infants, toddlers, and children of all ages. The Spork little is not only smaller, it's thicker and rounder for ease of use and safety. The serrated edges have also been removed to protect small mouths. The Spork little is made with BPA-free Tritan™. Great to carry in your bag and versatile enough for both a rugged camping trip and dishing out baby food at a city cafe.</t>
  </si>
  <si>
    <t>Designed for children—smaller, thicker, and rounder Spork with no serrated edges for safety.</t>
  </si>
  <si>
    <t>This practical Pack-up-Bottle™ holds up to 700 ml of liquid, collapses into three parts, and is made from BPA-free polypropylene and soft antislip TPE. The standard-size bottleneck allows for easy drinking and gives you the possibility to add other functions, such as a water filter. Remove the cap and bottleneck and the Pack-up-Bottle is easy to clean and refill. Cap and bottleneck can be used as an extra cup. The soft loop on the cap makes it comfortable to carry and easy to strap to any backpack. This is the ultimate bottle for the serious adventurer as well as the practical-minded city dweller.</t>
  </si>
  <si>
    <t>Materials: Bottle—TPE; Bottleneck and cap—polypropylene; Dimensions: 9.8" x 3.5" x 3.5" (25 cm x 9 cm x 9 cm); Volume: 23.6 oz. (700 ml); Weight: 7.1 oz. (202 g)</t>
  </si>
  <si>
    <t>Collapsible for easy transport.</t>
  </si>
  <si>
    <t>Easy to clean and refill—three separate parts.</t>
  </si>
  <si>
    <t>Suitable for both warm and cold beverages.</t>
  </si>
  <si>
    <t>Standard mouth opening allows optional mouthpieces and water filters.</t>
  </si>
  <si>
    <t>Stain and odor resistant. Dishwasher and microwave safe.</t>
  </si>
  <si>
    <t>Measuring lines. Secured cap.</t>
  </si>
  <si>
    <t>Measuring lines.</t>
  </si>
  <si>
    <t>The Pack-up-Cup holds 260 ml of liquid and works just as well on the hiking trip as in the office! Just fold out and fill up. A tight and secured lid keeps your beverage warm and protects it from dirt and curious bugs. Base made of antislip TPE material. The Pack-up-Cup is easy to clean and when folded, takes next to no space in your bag. Just pack it up!</t>
  </si>
  <si>
    <t>Materials: Base—TPE; Top—polypropylene; Dimensions: 3.9" x 3" x 3" (10 cm x 7.5 cm x 7.5 cm); Volume: 8.8 oz. (260 ml); Weight: 1.9 oz. (54 g)</t>
  </si>
  <si>
    <t>Contains 4 Light My Fire Pack-up-Cups.</t>
  </si>
  <si>
    <t>Materials: Polypropylene; Spork-Tritan™; Harness-TPE; Dimensions (packed): 7.6" x 7.6" x 2.4" (19.4 cm x 19.4 cm x 6.1 cm); Volume (SnapBox original): 5.7 oz. (170 ml); Volume (SnapBox oval): 10.8 oz. (320 ml); Volume (Pack-up-Cup): 8.8 oz. (260 ml); Weight: 13.5 oz. (384 g)</t>
  </si>
  <si>
    <t xml:space="preserve">
A custom harness that gives you an easy and secure way of carrying your LunchKit or MealKit (sold separately). The three-way design locks everything up tight, no matter how you travel.</t>
  </si>
  <si>
    <t>Fits the MealKit 2.0 or LunchKit.</t>
  </si>
  <si>
    <t>Flexible material—easy to handle.</t>
  </si>
  <si>
    <t>Durable.</t>
  </si>
  <si>
    <t>Material: TPE; Dimensions: 7.2" x 5.8" x 0.6" (18.3 cm x 14.8 cm x 1.5 cm); Weight: 0.8 oz. (24 g)</t>
  </si>
  <si>
    <t>The perfect kit for work, school, picnics, or holiday outings. The LunchKit contains all you need to eat your lunch in style anywhere, anytime. It comes with two high-edged plates, a Spork original (spoon-fork-knife combo) and two waterproof SnapBoxes in different shapes and sizes. Now you can easily organize and store your food. Comes with a tight and neat harness to keep the contents stored safely inside.</t>
  </si>
  <si>
    <t>Materials: Polypropylene; Spork-Tritan™; Harness-TPE; Dimensions (packed): 7.6" x 7.6" x 2.4" (19.4 cm x 19.4 cm x 6.1 cm); Volume (SnapBox original): 5.7 oz. (170 ml); Volume (SnapBox oval): 10.8 oz. (320 ml); Weight: 9.9 oz. (281 g)</t>
  </si>
  <si>
    <t>This kit doubles the fun of outdoor meals. Two high-edged plates with a lid and harness pack up food safely. Two Pack-Up-Cups™, perfect for both hot and cold drinks, with attached lids to keep out bugs. Plus, two Spork originals make everything from stews to salads easy to enjoy together.</t>
  </si>
  <si>
    <t>Pack’n Eat Kit includes: 1 plate/bowl, 2 lid/plate, 2 Pack-up-Cup, 2 Spork original, and 1 harness.</t>
  </si>
  <si>
    <t>Material: Polypropylene; Spork—Tritan™; Harness—TPE; Pack-up-Cup-TPE and polypropylene; Dimensions: 7.6" x 7.6" x 3.2" (19.4 cm x 19.4 cm x 8.1 cm); Volume (Pack-up-Cup): 8.8 oz. (260 ml); Weight: 12 oz. (342 g)</t>
  </si>
  <si>
    <t>Fill it, drink it, crush it—Shareable and compact drink kit.</t>
  </si>
  <si>
    <t>Pack-up-Drink Kit includes: 1 pack-up-Bottle and 2 Pack-up Cups.</t>
  </si>
  <si>
    <t>Material: Base-TPE; Bottleneck, cap, and top-polypropylene; Volume (Pack-up-Bottle): 23.6 oz. (700 ml); Volume (Pack-up-Cup): 8.8 oz. (260 ml); Weight: 9.2 oz. (262 g)</t>
  </si>
  <si>
    <t>Fold out to fill. Fold in when empty. This kit consists of two Pack-Up-Cups and one Pack-Up-Bottle. The Pack-Up-Cups hold 260 ml/8.8 oz. and have attached lids to keep the right temperature in and bugs out. The Pack-Up-Bottle works with standard water filters, and has a sturdy loop to make sure the cap isn't lost and that carrying is easy. Of course, the whole kit is easy to clean and BPA-free.</t>
  </si>
  <si>
    <t>Stackable.</t>
  </si>
  <si>
    <t>Easy to clean—stain and odor resistant.</t>
  </si>
  <si>
    <t>Measuring lines at 50 ml, 100 ml, and 150 ml.</t>
  </si>
  <si>
    <t>Materials: Polypropylene; Dimensions: 4" x 4" x 1.6" (10.1 cm x 10.1 cm x 4 cm); Volume: 5.7 oz. (170 ml); Weight: 1.3 oz. (38 g)</t>
  </si>
  <si>
    <t>Different colors for chopping vegetables, meat, and fish.</t>
  </si>
  <si>
    <t>Materials: Polypropylene; Dimensions: 5.9" x 6.3" (15.1 cm x 15.9 cm); Weight: 9.2 oz. (262 g)</t>
  </si>
  <si>
    <t>Combination cutting board and strainer allows you to strain your pasta and choose different colors for chopping vegetables, meat, and fish.</t>
  </si>
  <si>
    <t>BPA-free.</t>
  </si>
  <si>
    <t>Measuring lines at 100 ml, 200 ml, and 300 ml.</t>
  </si>
  <si>
    <t>Contains 3 Light My Fire Cutting Boards</t>
  </si>
  <si>
    <t>Cutting Boards</t>
  </si>
  <si>
    <t>Dishwasher and microwave safe. BPA-free.</t>
  </si>
  <si>
    <t>Contains 2 Light My Fire SnapBox originals.</t>
  </si>
  <si>
    <t>Materials: Polypropylene; Dimensions: 6.6" x 2.8" x 2.0" (16.8 cm x 7 cm x 5 cm); Volume: 10.8 oz. (320 ml); Weight: 2.0 oz. (57 g)</t>
  </si>
  <si>
    <t>Contains 2 Light My Fire SnapBox ovals.</t>
  </si>
  <si>
    <t>Also great to store medications.</t>
  </si>
  <si>
    <t>Materials: Base and lid—ABS; Gasket—TPE; Dimensions: 2.8" x 2.8" x 1.2" (7 cm x 7 cm x 3.1 cm); Weight: 1.4 oz. (40 g)</t>
  </si>
  <si>
    <t>Spice is the variety of life, but how do you take it with you on an outing? The Salt &amp; Pepper Plus™ carries 3 spices in waterproof, airtight, and shock-resistant compartments. As practical in a forest glade as in the darkness of your briefcase, the Salt &amp; Pepper Plus floats and fits inside the LunchKit or MealKit 2.0's SnapBox original waterproof container.</t>
  </si>
  <si>
    <t>Airtight, shock-resistant, waterproof, and floats.</t>
  </si>
  <si>
    <t>Contains 40 Salt&amp;Pepper Plus.</t>
  </si>
  <si>
    <t>Contains 36 3-packs of Light My Fire Spork littles.</t>
  </si>
  <si>
    <t>Hypoallergenic. Dishwasher safe.</t>
  </si>
  <si>
    <t>Contains 18 Light My Fire Spork titanium.</t>
  </si>
  <si>
    <t>Contains 120 Light My Fire Spork originals.</t>
  </si>
  <si>
    <t>Contains 24 Light My Fire Grandpa's FireForks.</t>
  </si>
  <si>
    <t>Contains 16 Light My Fire Swedish FireSteel 2.0 Scouts.</t>
  </si>
  <si>
    <t>Contains 80 Light My Fire Spork originals.</t>
  </si>
  <si>
    <t>Bayonet lock allows quick and easy access.</t>
  </si>
  <si>
    <t>Waterproof and shockproof organizer for your backpack. Strong, tough and versatile for the most demanding adventures. Perfect for gear you need to keep dry, safe and easy to find. The containers lock into each other and can be combined endlessly. Each container has a double sealed lid that makes it waterproof and airtight.</t>
  </si>
  <si>
    <t>Waterproof and airtight with double-sealed lid that keeps gear dry.</t>
  </si>
  <si>
    <r>
      <t>Rugged and impact resistant</t>
    </r>
    <r>
      <rPr>
        <sz val="10"/>
        <rFont val="Calibri"/>
        <family val="2"/>
      </rPr>
      <t>—</t>
    </r>
    <r>
      <rPr>
        <sz val="11"/>
        <rFont val="Arial"/>
        <family val="2"/>
      </rPr>
      <t>sturdy construction and strong materials make it shockproof</t>
    </r>
    <r>
      <rPr>
        <sz val="10"/>
        <rFont val="Arial"/>
        <family val="2"/>
      </rPr>
      <t>.</t>
    </r>
  </si>
  <si>
    <r>
      <t>Versatile and adaptable to your needs</t>
    </r>
    <r>
      <rPr>
        <sz val="10"/>
        <rFont val="Calibri"/>
        <family val="2"/>
      </rPr>
      <t>—</t>
    </r>
    <r>
      <rPr>
        <sz val="11"/>
        <rFont val="Arial"/>
        <family val="2"/>
      </rPr>
      <t>different sized containers can be added, removed, or rearranged with a simple twist.</t>
    </r>
  </si>
  <si>
    <t>Easy to pack, carry, or hang.</t>
  </si>
  <si>
    <t>Slips easily into your backpack.</t>
  </si>
  <si>
    <t>Easy to clean. Floats.</t>
  </si>
  <si>
    <t>Stacking design keeps lids and bottom of containers free from dirt.</t>
  </si>
  <si>
    <t>Comfortable XACT-Fit™ system located on the back of the band provides micro-adjustment for a custom fit.</t>
  </si>
  <si>
    <t>Settings include flood, spot, and red night vision modes.</t>
  </si>
  <si>
    <t>Dial provides transition between light modes and adjusts brightness continuously from 0 to 120 lumens.</t>
  </si>
  <si>
    <t>Battery Type (included): Three 1.5V AAA alkaline; Bulb Type: Super bright XP-E CREE LED; Highly Water Resistant: IPX 4; Fits (circumference of head): 21-26" (53-65 cm); Dimensions of Headlamp: 2.3" x 0.65" x 1.4" (5.9 cm x 1.7 cm x 3.5 cm); Weight (with batteries): 3.7 oz. (104 g)</t>
  </si>
  <si>
    <t>Powered by included rechargeable Li-Ion battery pack with integrated micro USB input or 3 AAA batteries (not included).</t>
  </si>
  <si>
    <t>Battery Type (included): Rechargeable Li-Ion battery pack (or 3x 1.5v AAA – not included); Bulb Type: Super bright XP-E CREE LED; Highly Water Resistant: IPX 4; Fits (circumference of head): 21-26" (53-65 cm); Dimensions of Headlamp: 2.3" x 1.3" x 1.8" (5.8 cm x 3.3 cm x 4.6 cm); Weight (with batteries): 4.9 oz. (139 g)</t>
  </si>
  <si>
    <r>
      <t>SoftShell Ice Cream Ball</t>
    </r>
    <r>
      <rPr>
        <sz val="10"/>
        <rFont val="Calibri"/>
        <family val="2"/>
      </rPr>
      <t>™</t>
    </r>
    <r>
      <rPr>
        <sz val="10"/>
        <rFont val="Arial"/>
        <family val="2"/>
      </rPr>
      <t>, pint</t>
    </r>
  </si>
  <si>
    <r>
      <t>SoftShell Ice Cream Ball</t>
    </r>
    <r>
      <rPr>
        <sz val="10"/>
        <rFont val="Calibri"/>
        <family val="2"/>
      </rPr>
      <t>™</t>
    </r>
    <r>
      <rPr>
        <sz val="10"/>
        <rFont val="Arial"/>
        <family val="2"/>
      </rPr>
      <t>, quart</t>
    </r>
  </si>
  <si>
    <t>Blueberry</t>
  </si>
  <si>
    <t>Raspberry</t>
  </si>
  <si>
    <r>
      <t>SoftShell Ice Cream Ball</t>
    </r>
    <r>
      <rPr>
        <sz val="10"/>
        <rFont val="Calibri"/>
        <family val="2"/>
      </rPr>
      <t>™</t>
    </r>
    <r>
      <rPr>
        <sz val="10"/>
        <rFont val="Arial"/>
        <family val="2"/>
      </rPr>
      <t>, pint, LLB</t>
    </r>
  </si>
  <si>
    <r>
      <t>SoftShell Ice Cream Ball</t>
    </r>
    <r>
      <rPr>
        <sz val="10"/>
        <rFont val="Calibri"/>
        <family val="2"/>
      </rPr>
      <t>™</t>
    </r>
    <r>
      <rPr>
        <sz val="10"/>
        <rFont val="Arial"/>
        <family val="2"/>
      </rPr>
      <t>, quart, LLB</t>
    </r>
  </si>
  <si>
    <t>E-STOVE-6X14M</t>
  </si>
  <si>
    <t>Date Available</t>
  </si>
  <si>
    <t>E-FF16-TI</t>
  </si>
  <si>
    <t>E-FK12.5-TI</t>
  </si>
  <si>
    <t>E-FS17.5-TI</t>
  </si>
  <si>
    <t>E-TC4-TI</t>
  </si>
  <si>
    <t>Titanium Cutlery Set, 3 pieces (fork, spoon, knife)</t>
  </si>
  <si>
    <t>Inflatable Cover, Pint</t>
  </si>
  <si>
    <t>Inflatable Cover, Quart</t>
  </si>
  <si>
    <t>SoftShell Ice Cream Ball</t>
  </si>
  <si>
    <t>LLB Pint</t>
  </si>
  <si>
    <t>LLB Quart</t>
  </si>
  <si>
    <t>Inflatable Cover, pint</t>
  </si>
  <si>
    <t>Inflatable Cover, quart</t>
  </si>
  <si>
    <t>Make delicious ice cream anywhere, anytime—great for parties, barbecues, picnics, camping trips, etc.</t>
  </si>
  <si>
    <t>Just add natural ingredients that are as simple as cream, sugar, and vanilla in one end then add ice and rock salt in the other end.</t>
  </si>
  <si>
    <t>The softshell exterior makes it fun to shake, roll, and play your way to a pint of delicious ice cream in about 20 minutes.</t>
  </si>
  <si>
    <t>Wide and shallow canister makes it easy to mix ingredients and scoop out ice cream.</t>
  </si>
  <si>
    <t>The built-in handles make opening the ends easy; flip back the handle and lay it on a table to allow easy access to stir ingredients or scoop out ice cream.</t>
  </si>
  <si>
    <t>Constructed from food-safe, BPA-free materials.</t>
  </si>
  <si>
    <t>Includes Pure &amp; Simple recipe booklet.</t>
  </si>
  <si>
    <r>
      <t>An answer to those searching for a fun, creative activity that gets kids moving and then rewards them with a delicious treat, the SoftShell Ice Cream Ball</t>
    </r>
    <r>
      <rPr>
        <sz val="10"/>
        <rFont val="Calibri"/>
        <family val="2"/>
      </rPr>
      <t>™</t>
    </r>
    <r>
      <rPr>
        <sz val="10"/>
        <rFont val="Arial"/>
        <family val="2"/>
      </rPr>
      <t xml:space="preserve"> provides entertainment for parties, camping trips, picnics, and much more. Simply mix natural ingredients, such as cream, sugar and vanilla, and add into one side of the ball and then add ice and rock salt into the other end. Once the ball is loaded, kids and adults alike can roll, shake, or play with the ball for about 20 minutes. In no time, you, your family and friends will be enjoying a delicious, frozen treat. Be sure to try out the many recipes (sorbet, frozen yogurt, shakes, icy drinks, and more) listed in the included Pure &amp; Simple recipe booklet!</t>
    </r>
  </si>
  <si>
    <t>Since 2004, YayLabs! has been providing families with fun, simple and rewarding moments. Enjoy any of YayLabs! products without the need for electricity or other gadgets. Creative, homemade, and natural, the YayLabs! SoftShell Ice Cream Ball makes ice cream anywhere, anytime. It’s great for parties, barbeques, picnics, camping trips, and wherever the fun takes you. YayLabs! is a division of Industrial Revolution, Inc., a Seattle-based company that manufactures and distributes products enjoyed by outdoor enthusiasts worldwide.</t>
  </si>
  <si>
    <t>The softshell exterior makes it fun to shake, roll, and play your way to a pint of delicious ice cream in about 30 minutes.</t>
  </si>
  <si>
    <t>Weight When Empty: 2.5 lbs.; Weight When Full: 7.5 lbs.; Diameter: 8" (20 cm); Ice Cream Capacity: 1 Pint/16 fl. oz.; Approximate Play Time: 20 minutes
WARNING: SoftShell Ice Cream Ball is to be used under the direct supervision of an adult. Use caution when handling and disposing of ice and water mixture, as it may be extremely cold. DO NOT DROP, KICK, THROW, OR BOUNCE! This misuse could result in injury to the user or damage to the SoftShell Ice Cream Ball. Damage due to misuse is not covered under warranty.</t>
  </si>
  <si>
    <t>Weight When Empty: 3.5 lbs.; Weight When Full: 9.5 lbs.; Diameter: 9" (23 cm); Ice Cream Capacity: 1 Quart/32 fl. oz.; Approximate Play Time: 30 minutes
WARNING: SoftShell Ice Cream Ball is to be used under the direct supervision of an adult. Use caution when handling and disposing of ice and water mixture, as it may be extremely cold. DO NOT DROP, KICK, THROW, OR BOUNCE! This misuse could result in injury to the user or damage to the SoftShell Ice Cream Ball. Damage due to misuse is not covered under warranty.</t>
  </si>
  <si>
    <r>
      <t>An answer to those searching for a fun, creative activity that gets kids moving and then rewards them with a delicious treat, the SoftShell Ice Cream Ball</t>
    </r>
    <r>
      <rPr>
        <sz val="10"/>
        <rFont val="Calibri"/>
        <family val="2"/>
      </rPr>
      <t>™</t>
    </r>
    <r>
      <rPr>
        <sz val="10"/>
        <rFont val="Arial"/>
        <family val="2"/>
      </rPr>
      <t xml:space="preserve"> provides entertainment for parties, camping trips, picnics, and much more. Simply mix natural ingredients, such as cream, sugar and vanilla, and add into one side of the ball and then add ice and rock salt into the other end. Once the ball is loaded, kids and adults alike can roll, shake, or play with the ball for about 30 minutes. In no time, you, your family and friends will be enjoying a delicious, frozen treat. Be sure to try out the many recipes (sorbet, frozen yogurt, shakes, icy drinks, and more) listed in the included Pure &amp; Simple recipe booklet!</t>
    </r>
  </si>
  <si>
    <r>
      <t>Insulates and provides cushioned fun when making ice cream with the Ice Cream Ball</t>
    </r>
    <r>
      <rPr>
        <sz val="10"/>
        <rFont val="Calibri"/>
        <family val="2"/>
      </rPr>
      <t>—p</t>
    </r>
    <r>
      <rPr>
        <sz val="10"/>
        <rFont val="Arial"/>
        <family val="2"/>
      </rPr>
      <t>erfect for the backyard, beach, parties, picnics, and barbecues.</t>
    </r>
  </si>
  <si>
    <t>Hook and loop tabs on sides provide secure closure.</t>
  </si>
  <si>
    <t>Two air valves allow easy inflation and deflation.</t>
  </si>
  <si>
    <t>Constructed from phthalate-free plastic.</t>
  </si>
  <si>
    <t>Includes 1 set of "build your own" Monster stickers for continual fun for the kids.</t>
  </si>
  <si>
    <t>For those who already own a YayLabs™ Ice Cream Ball™, the Inflatable Cover is a fun accessory to add to your ice cream making arsenal. Just place your Ice Cream Ball inside the Inflatable Cover, secure it closed with the tab closures, and have cushioned fun as you shake it, pass it, or roll it around for about 20 minutes for a pint of delicious, homemade ice cream. This is the perfect time for kids to sing songs, tell jokes, or come up with fun games while shaking and passing the ball around. Kids can also have fun building their own ice cream monster on the Inflatable Cover with the included reusable stickers.</t>
  </si>
  <si>
    <t>Weight: 10.1 oz. (286 g)</t>
  </si>
  <si>
    <t>For those who already own a YayLabs™ Ice Cream Ball™, the Inflatable Cover is a fun accessory to add to your ice cream making arsenal. Just place your Ice Cream Ball inside the Inflatable Cover, secure it closed with the tab closures, and have cushioned fun as you shake it, pass it, or roll it around for about 30 minutes for a quart of delicious, homemade ice cream. This is the perfect time for kids to sing songs, tell jokes, or come up with fun games while shaking and passing the ball around. Kids can also have fun building their own ice cream monster on the Inflatable Cover with the included reusable stickers.</t>
  </si>
  <si>
    <t xml:space="preserve">Each 1.7 oz. bottle will flavor 3 quarts of ice cream or 10 shakes.  </t>
  </si>
  <si>
    <r>
      <t>Flavors ice cream, shakes, smoothies, even diet and nutritional drinks</t>
    </r>
    <r>
      <rPr>
        <sz val="10"/>
        <rFont val="Calibri"/>
        <family val="2"/>
      </rPr>
      <t>—</t>
    </r>
    <r>
      <rPr>
        <sz val="10"/>
        <rFont val="Arial"/>
        <family val="2"/>
      </rPr>
      <t>A perfect match for the YayLabs! SoftShell Ice Cream Ball.</t>
    </r>
  </si>
  <si>
    <t>The exclusive line of flavorings especially formulated for homemade ice cream, shakes, and smoothies. Suitable for use in the YayLabs! Ice Cream Ball, blenders, smoothie makers, and ice cream makers of all types. Why settle for plain vanilla or struggle with complicated recipes with hard to find ingredients? These concentrated, unsweetened, kosher, and non-allergenic LorAnn's flavorings will transform any plain vanilla recipe into a fun and colorful gourmet treat. Each 1.7 oz. bottle will flavor over three quarts of homemade ice cream or 10 shakes.</t>
  </si>
  <si>
    <t>Not a syrup. Not an ice cream topping. Flavor Fountain puts the flavoring secrets of major ice cream manufacturers into the hands of home consumers!</t>
  </si>
  <si>
    <t>Chocolate Fudge, Vanilla, Strawberry, &amp; Butter Pecan</t>
  </si>
  <si>
    <t>Assortment of four flavors: Chocolate Fudge, Strawberry, French Vanilla, and Butter Pecan.</t>
  </si>
  <si>
    <r>
      <t>CellPod</t>
    </r>
    <r>
      <rPr>
        <sz val="10"/>
        <rFont val="Calibri"/>
        <family val="2"/>
      </rPr>
      <t>™</t>
    </r>
  </si>
  <si>
    <t>9006.99.0000</t>
  </si>
  <si>
    <t>4260149870933</t>
  </si>
  <si>
    <t>E-FUEL-16X5</t>
  </si>
  <si>
    <t>Solid Fuel</t>
  </si>
  <si>
    <t>Solid Fuel Stoves &amp; Cooksets</t>
  </si>
  <si>
    <t>Alcohol Stoves &amp; Cooksets</t>
  </si>
  <si>
    <t>Cookware</t>
  </si>
  <si>
    <t>Solid Fuel Tablets, 12 x 14 g</t>
  </si>
  <si>
    <t>3606.90.9000</t>
  </si>
  <si>
    <t>Solid Fuel Tablets, 20 x 4 g</t>
  </si>
  <si>
    <t>Solid Fuel Tablets, 16 x 5 g</t>
  </si>
  <si>
    <t>4021684000120</t>
  </si>
  <si>
    <t>Food Jugs &amp; Vacuum Flasks</t>
  </si>
  <si>
    <t>BBQ</t>
  </si>
  <si>
    <t>Emergency Stove with Solid Fuel Tablets, 3 x 14 g</t>
  </si>
  <si>
    <t>Medium Pocket Stove with Solid Fuel Tablets, 6 x 14 g</t>
  </si>
  <si>
    <t>Large Pocket Stove with Solid Fuel Tablets, 12 x 14 g</t>
  </si>
  <si>
    <t>Small Pocket Stove with Solid Fuel Tablets, 6 x 14 g</t>
  </si>
  <si>
    <t>Small Pocket Stove &amp; Solid Fuel Tablet, Counter Stand</t>
  </si>
  <si>
    <t>18 each</t>
  </si>
  <si>
    <t>CS585HA Solid Fuel Stove &amp; Cookset</t>
  </si>
  <si>
    <t>E-FJ750SP-BG</t>
  </si>
  <si>
    <t>CS985HA Alcohol Stove &amp; Trekking Cookset</t>
  </si>
  <si>
    <t>CS2350WN Alcohol Stove &amp; Camp Cookset</t>
  </si>
  <si>
    <t>Alcohol Burner</t>
  </si>
  <si>
    <t>Folding Pot Stand &amp; Stove</t>
  </si>
  <si>
    <t>4260149870940</t>
  </si>
  <si>
    <t>4260149870957</t>
  </si>
  <si>
    <t>4260149870964</t>
  </si>
  <si>
    <t>4260149870988</t>
  </si>
  <si>
    <t>Aluminum Mug</t>
  </si>
  <si>
    <t>Titanium Pot</t>
  </si>
  <si>
    <t>Water Kettle, 1400 ml</t>
  </si>
  <si>
    <t>Water Kettle, 600 ml</t>
  </si>
  <si>
    <t>2.35L Pot with Heat Exchanger</t>
  </si>
  <si>
    <t>Coffee Maker</t>
  </si>
  <si>
    <t>Titanium Fork, foldable</t>
  </si>
  <si>
    <t xml:space="preserve">Titanium Knife, foldable </t>
  </si>
  <si>
    <t>Titanium Spoon, foldable</t>
  </si>
  <si>
    <t xml:space="preserve">Dark Blue/Dark Grey </t>
  </si>
  <si>
    <t>Stand for Foldable BBQ Box</t>
  </si>
  <si>
    <t>Virtually smokeless and residue-free solid fuel tablets are used to cook and heat up food and beverages—can also be used to start campfires and grills.</t>
  </si>
  <si>
    <t>Works at high altitudes and sub-zero temperatures.</t>
  </si>
  <si>
    <t>Includes 12 tablets that are individually packed in waterproof packaging.</t>
  </si>
  <si>
    <t>Each 14 g tablet burns approximately 12 minutes and up to 1400°F (760°C).</t>
  </si>
  <si>
    <t>One tablet boils 500 ml of water in about 8 minutes.</t>
  </si>
  <si>
    <t>Can be stored for 10+ years.</t>
  </si>
  <si>
    <t>Ignites with match or lighter.</t>
  </si>
  <si>
    <t>Quantity: 12 x 14 g tablets; Dimensions-packaged: 4.2" x 3.5" x 1.2" (10.7 cm x 8.9 cm x 3.0 cm); Weight-packaged: 6.5 oz. (184 g)</t>
  </si>
  <si>
    <t xml:space="preserve">The Esbit story began in 1936, and for more than 75 years, Esbit has been making gear that is made to survive. The German brand’s history is rich in innovation, inventing the first solid fuel tablets and pocket stoves. The products are simple and useful and have been the standard issue for military and government agencies for decades. Esbit’s user-friendly outdoor products provide added value and security that can be relied upon at any time. </t>
  </si>
  <si>
    <t>Also used to operate toy steam engines and other hobby items.</t>
  </si>
  <si>
    <t>Each 4 g tablet burns approximately 5 minutes and is perfect for heating small quantities of water.</t>
  </si>
  <si>
    <t>Includes 20 tablets that are individually wrapped.</t>
  </si>
  <si>
    <t>Quantity: 20 x 4 g tablets; Dimensions-packaged: 3.1" x 2.7" x 0.6" (7.9 cm x 6.9 cm x 1.5 cm); Weight-packaged: 2.9 oz. (82 g)</t>
  </si>
  <si>
    <t>Each 5 g tablet burns approximately 7 minutes and up to 1400°F (760°C).</t>
  </si>
  <si>
    <t>Includes 16 tablets that are individually packed in waterproof packaging.</t>
  </si>
  <si>
    <t>Quantity: 16 x 5 g tablets; Dimensions-packaged: 3.1" x 2.8" x 0.7" (8.0 cm x 7.0 cm x 1.7 cm); Weight-packaged: 3.1 oz. (88 g)</t>
  </si>
  <si>
    <r>
      <t>The Esbit 12 x 14g  solid fuel cubes have a burn time of approximately 12 minutes and each box includes 12 cubes. They have a strong heat output, ignite with a match or lighter and lightweight and compact. When stored properly, Esbit solid fuel mantains its full functionality for many years. It works also at temperatures below 32</t>
    </r>
    <r>
      <rPr>
        <sz val="10"/>
        <rFont val="Calibri"/>
        <family val="2"/>
      </rPr>
      <t>°</t>
    </r>
    <r>
      <rPr>
        <sz val="10"/>
        <rFont val="Arial"/>
        <family val="2"/>
      </rPr>
      <t xml:space="preserve"> F and in high altitudes. It is easy to handle and simple technique which cannot fail. It has no visible smoke and leaves almost no ash after burning. It is used by various NATO forces, expeditions, in the aftermath of disasters.</t>
    </r>
  </si>
  <si>
    <r>
      <t>The Esbit 20 x 4 g solid fuel cubes have a burn time of approximately 5 minutes and each box includes 20 cubes. They have a strong heat output, ignite with a match or lighter and lightweight and compact. When stored properly, Esbit solid fuel mantains its full functionality for many years. It works also at temperatures below 32</t>
    </r>
    <r>
      <rPr>
        <sz val="10"/>
        <rFont val="Calibri"/>
        <family val="2"/>
      </rPr>
      <t>°</t>
    </r>
    <r>
      <rPr>
        <sz val="10"/>
        <rFont val="Arial"/>
        <family val="2"/>
      </rPr>
      <t xml:space="preserve"> F and in high altitudes. It is easy to hande and simple technique which cannot fail. It has no visible smoke and leaves almost no ash after burning. It is used by various NATO forces, expeditions, in the aftermath of disasters. Also used to operate toy steam engines and other hobby items.</t>
    </r>
  </si>
  <si>
    <r>
      <t>The Esbit 16 x 5 g  solid fuel cubes have a burn time of approximately 7 minutes and each box includes 16 cubes. They have a strong heat output, ignite with a match or lighter and lightweight and compact. When stored properly, Esbit solid fuel mantains its full functionality for many years. It works also at temperatures below 32</t>
    </r>
    <r>
      <rPr>
        <sz val="10"/>
        <rFont val="Calibri"/>
        <family val="2"/>
      </rPr>
      <t>°</t>
    </r>
    <r>
      <rPr>
        <sz val="10"/>
        <rFont val="Arial"/>
        <family val="2"/>
      </rPr>
      <t xml:space="preserve"> F and in high altitudes. It is easy to handle and simple technique which cannot fail. It has no visible smoke and leaves almost no ash after burning. It is used by various NATO forces, expeditions, in the aftermath of disasters. Also used to operate toy steam engines and other hobby items.</t>
    </r>
  </si>
  <si>
    <t>Ideal for your home, auto, or boat emergency kit or survivalist situation yet also suited for lightweight backpacking. When the need arises, the pliable Emergency Stove is easy to fold into the cooking position for use then will fold flat for storage and includes three 14 g solid fuel tablets that burn about 12 minutes each.</t>
  </si>
  <si>
    <t>Folds into cooking position, then flat again for about 15 uses—perfect for emergency kits, bug out bags, etc.</t>
  </si>
  <si>
    <t>Constructed from durable, galvanized steel—lightweight and pliable.</t>
  </si>
  <si>
    <t>Tablet tray holds solid fuel in place—includes 3 x 14 g solid fuel tablets.</t>
  </si>
  <si>
    <t>Large solid fuel tablets burn up to 12 minutes each and are individually packaged to allow for one at a time usage.</t>
  </si>
  <si>
    <t>Stove design approved and used within NATO.</t>
  </si>
  <si>
    <t>Dimensions-flat: 4.5" x 3.5" x 0.06" (11.5 cm x 8.8 cm x 1.5 cm); Weight: 2.6 oz. (75 g)</t>
  </si>
  <si>
    <t>The Esbit Titanium Stove is a simply designed folding stove for burning Esbit solid fuel tablets that is ideal for minimalist and ultralight hikers. The stove is made from titanium, and is configured with three 'legs' that fold and unfold around a small tray in the center sized to hold a 14 g Esbit solid fuel tablet. The legs are designed to allow the stove to be used with various sizes of cups and pots-larger pots can rest on the top of the legs, and smaller cups can rest on the serrated edges. An excellent addition to any pack on summit day.</t>
  </si>
  <si>
    <t>The lightest and most compact backpacking stove that is constructed from ultralight titanium.</t>
  </si>
  <si>
    <t>Lightweight and foldable—stores in included mesh bag.</t>
  </si>
  <si>
    <t>Tablet tray holds solid fuel in place.</t>
  </si>
  <si>
    <t>Use with Esbit solid fuel tablets (not included).</t>
  </si>
  <si>
    <t>Works well with the Esbit Titanium Pot.</t>
  </si>
  <si>
    <t>Dimensions-folded: 3.3" x 1.1" (8.4 cm x 2.9 cm); Weight: 0.4 oz. (11.5 g)</t>
  </si>
  <si>
    <t>Ideal for backpacking, camping or your home or auto emergency kit, these small, compact stoves fold and can fit in a pocket. With three selectable cooking grades, the Esbit Pocket Stove is suitable for use with cups, pots, and pans. Includes twelve Esbit 14 g solid fuel tablets that will burn about 12 minutes each.</t>
  </si>
  <si>
    <t>Ideal for backpacking, camping or your home or auto emergency kit, these small, compact stoves fold and can fit in a pocket. With two selectable cooking grades, the Esbit Pocket Stove is suitable for use with cups, pots, and pans. Includes six Esbit 14 g solid fuel tablets that will burn about 12 minutes each.</t>
  </si>
  <si>
    <t>Simple, stable, and reliable stove with 3 cooking positions available—suitable for cups, pots, and pans (not included).</t>
  </si>
  <si>
    <t>Simple, stable, and reliable stove with 2 cooking positions available—suitable for cups, pots, and pans (not included).</t>
  </si>
  <si>
    <t>Dimensions - approx.: 13" w x 16.5" h x 6.25" d (33 cm x 42 cm x 16 cm)</t>
  </si>
  <si>
    <t>Folds down to a small, compact size.</t>
  </si>
  <si>
    <t>Constructed from durable, galvanized steel.</t>
  </si>
  <si>
    <t>Includes 12 Esbit 14 g solid fuel tablets. Extra solid fuel tablets store inside stove.</t>
  </si>
  <si>
    <t>Includes 6 Esbit 14 g solid fuel tablets. Extra solid fuel tablets store inside stove.</t>
  </si>
  <si>
    <t>Pocket Stove is used within NATO.</t>
  </si>
  <si>
    <t>Dimensions (closed/folded): 5.2" x 3.8" x 1.5" (13.2 cm x 9.6 cm x 3.9 cm); Weight (including solid fuel): 12.7 oz. (360 g)</t>
  </si>
  <si>
    <t>Dimensions (closed/folded): 3.9" x 3" x 0.9" (9.8 cm x 7.7 cm x 2.3 cm); Weight (including solid fuel): 6.3 oz. (180 g)</t>
  </si>
  <si>
    <t>Great for 1-2 person multi-day treks where light weight and compact size are important.</t>
  </si>
  <si>
    <t>Pot with volume indicators in ml/oz. and 2 hinged, stainless steel, silicone-coated grips.</t>
  </si>
  <si>
    <t>Windscreen/pot stand designed for use with Esbit solid fuel tablets (fuel not included).</t>
  </si>
  <si>
    <t>Includes 585 ml pot, lid, and a windscreen/pot stand that is highly efficient at transmitting heat.</t>
  </si>
  <si>
    <t>Dimensions-packed: 3.4" x 4.4" (8.6 cm x 11.1 cm); Weight: 6.9 oz. (197 g); Capacity: 20 oz. (585 ml)</t>
  </si>
  <si>
    <t>This lightweight, self-contained complete cooking system is constructed from hard-anodized aluminum and works with solid fuel. The stove is great for heating water or food on the trail, such as a quick cup of coffee, tea, or soup. It includes a windshield type stove and a pot with lid. The stove fits in the pot, which has folding handles and a small pour spout, making it space and weight efficient for hiking and backpacking. The durable 585 ml pot has graduations in both ounces and milliliters that you read from the inside when pouring in the liquid. The pot's folding handles have silicone grips for protection from heat and it all fits in the included mesh stuff sack.</t>
  </si>
  <si>
    <t>985 ml pot with volume indicator in ml/oz.; 470 ml pot that also serves as lid.</t>
  </si>
  <si>
    <t>Pots include 2 hinged, stainless steel, silicone-coated grips.</t>
  </si>
  <si>
    <t>Includes stand, 985 ml pot, 470 ml pot/lid, alcohol burner, and base for an Esbit solid fuel tablet.</t>
  </si>
  <si>
    <t>Pot stand, alcohol burner, and solid fuel base nest inside big pot.</t>
  </si>
  <si>
    <t>Constructed from extremely light, hard-anodized aluminum for efficient heat transfer.</t>
  </si>
  <si>
    <t>Alcohol burner constructed from brass with a screw top and rubber gasket. Alcohol burner has variable temperature control with a fold-away handle that helps to regulate or extinguish flame.</t>
  </si>
  <si>
    <t>Dimensions-packed: 5.8" x 5.0" (14.7 cm x 12.8 cm); Weight: 14.7 oz. (417 g)</t>
  </si>
  <si>
    <t>The Esbit CS985HA Alcohol Stove &amp; Trekking Cookset provides various options for cooking out on the trail. It has a 985 ml pot with a volume indicator in ml/oz. increments on the side, and a 470 ml pot/pan which also serves as a lid. Constructed from extremely light, hard anodized aluminum, the set includes a stand that supports the pots, and includes a base for Esbit solid fuel tablets and a solid brass alcohol burner. The alcohol burner is constructed from brass and allows variable temperature control, plus it holds the denatured alcohol in it during transport. Everything can be stored and carried in the large pot, which comes with a mesh bag, and fits compactly in your backpack.</t>
  </si>
  <si>
    <t>The Esbit CS2350WN Alcohol Stove &amp; Camp Cookset provides various options for cooking out on the trail or at the campground for multiple people. Use less energy to boil large volumes of water when using the 1.8 L and 2.35 L pots with heat exchangers for higher cooking efficiency. The textured bottom of the 7 1/4 inch fry pan allows heat retention and even distribution while cooking plus the non-stick coating on the pan helps keep foods from sticking. The stainless steel kettle/pan stand works in combination with the cookset stand for additional stability with the included frying pan or for use with the Esbit Water Kettle (sold separately). Constructed from extremely light, hard anodized aluminum, the cookset also includes a stand that supports the cookware, lid with plastic grip, pot holder, gripper, alcohol burner, and 2 plates to serve the meal on. The alcohol burner is constructed from brass and allows variable temperature control, plus it holds the denatured alcohol in it during transport. Most everything can be stored and carried in the large pot, which comes with a mesh bag, and fits in your backpack.</t>
  </si>
  <si>
    <t>Pots with heat exhanger provide higher cooking efficiency by improving boil times by 30%, thereby reducing fuel useage, so it can boil larger volumes using less energy. Includes volume indicators in ml/oz.</t>
  </si>
  <si>
    <t>7 1/4 in./18.5 cm-wide frying pan with textured bottom for heat retention and even distribution plus a multi-layer, non-stick coating.</t>
  </si>
  <si>
    <t>The stainless steel kettle/pan stand works in combination with the cookset stand for additional stability with the frying pan or for use with the Esbit Water Kettle (E-WK600HA—not included).</t>
  </si>
  <si>
    <t>Dimensions-packed: 5.0" x 8.0" (12.8 cm x 20.2 cm); Weight: 2 lbs. 5.9 oz. (1.075 kg)</t>
  </si>
  <si>
    <t>The take-apart, stainless steel Folding Pot Stand &amp; Stove includes a tray for an Esbit solid fuel tablet. When put together, it provides a three-sided pot stand which will hold any pot that fits over a standard Nalgene® Bottle. The Folding Pot Stand &amp; Stove is versatile so you can remove the tablet tray and snap in an Esbit Alcohol Burner. It's ultralight and very flat when taken apart and placed in the included pouch with belt loop. When disassembled and placed in the included pouch, the pouch will also hold six Esbit solid fuel tablets (not included).</t>
  </si>
  <si>
    <t>Lightweight—stores flat in included mesh bag.</t>
  </si>
  <si>
    <t>Dimensions-packed: 4.7" x 4.3" x 0.4" (12 cm x 11 cm x 1 cm); Weight: 3.3 oz. (93 g)</t>
  </si>
  <si>
    <t>Constructed from brass with a screw top and rubber gasket.</t>
  </si>
  <si>
    <t>Variable temperature control.</t>
  </si>
  <si>
    <t>Fold-away handle on the flame regulator to extinguish flame.</t>
  </si>
  <si>
    <t>Fuel stores in burner so no need for extra bottles or cans.</t>
  </si>
  <si>
    <t>Works with denatured alcohol only.</t>
  </si>
  <si>
    <t>Dimensions: 1.8" x 2.9" (4.6 cm x 7.4 cm); Weight: 3.25 oz. (92 g)</t>
  </si>
  <si>
    <t>The Esbit Alcohol Burner is a lightweight alternative to a liquid gas or canister stove. Denatured alcohol is easy to find and cheaper to use than alternatives. Alcohol stoves are the stove of choice for ultralight and long-distance backpackers. There are no moving parts or burners to wear out or break. Just fill it and light it. It can be used alone providing you have some sort of pot support with you. Some ultralighters use tent stakes to support the pots to save weight. Uses Denatured alcohol only for fuel which will be easily available at a local hardware or grocery store.</t>
  </si>
  <si>
    <t>Simple, durable design with plastic handle and edge of lip for safe use with hot liquids.</t>
  </si>
  <si>
    <t>Volume: 11.8 oz. (350 ml); Dimensions: 3.3" x 4.3" (8.5 cm x 10.9 cm); Weight: 2.8 oz. (80 g)</t>
  </si>
  <si>
    <t>750 ml/25 oz. pot with 2 low-profile, hinged grips and vented lid with lockable grip.</t>
  </si>
  <si>
    <t>Esbit Titanium Stove and solid fuel tablets (both sold separately) can store inside pot.</t>
  </si>
  <si>
    <t>Stores in specially designed mesh bag with 2 pockets for utensils (utensils not included).</t>
  </si>
  <si>
    <t>Volume: 25 oz. (750 ml); Dimensions-packed: 4.3" x 3.9" (11 cm x 9.9 cm); Weight: 3.75 oz. (106 g)</t>
  </si>
  <si>
    <t>Lid and kettle with hinged grips make it easier to pour boiling water.</t>
  </si>
  <si>
    <t>Wide stable base is more efficient in heating water than narrower pots.</t>
  </si>
  <si>
    <t>The 1.4L Esbit Water Kettle is just the right size to boil some water quickly for a couple of cups of hot tea and some tasty freeze-dried breakfast on a chilly morning in camp. This lightweight, hard-anodized water kettle fits on most stoves and has a coated, hinged grip on the kettle for easy removal.</t>
  </si>
  <si>
    <t>The 0.6L Esbit Water Kettle is just the right size to boil some water quickly for a couple of cups of hot tea or cocoa on a chilly morning in camp. This lightweight, hard-anodized water kettle fits on most stoves and has a coated, hinged grip on the kettle for easy removal.</t>
  </si>
  <si>
    <t>Dimensions—packed: 3.9" x 5.9" (10 cm x 15 cm); Weight: 6.1 oz. (174 g)</t>
  </si>
  <si>
    <t>Dimensions—packed: 3" x 5.9" (7.5 cm x 15 cm); Weight: 4.9 oz. (140 g)</t>
  </si>
  <si>
    <t>0.6 liter fits inside CS2350HA Alcohol Stove &amp; Camp Cookset (sold separately).</t>
  </si>
  <si>
    <t>Pot with heat exchanger provides higher cooking efficiency by boiling larger volumes using less energy.</t>
  </si>
  <si>
    <t>Pot has volume indicators in liter/oz.</t>
  </si>
  <si>
    <t>Includes 2.35L pot, lid with plastic grip, pot holder, and pot gripper.</t>
  </si>
  <si>
    <t>Volume: 79.4 oz. (2.35 L);  Dimensions-packed: 4.9" x 8.0" (12.5 cm x 20.2 cm); Weight: 14.5 oz. (412 g)</t>
  </si>
  <si>
    <t>The Esbit 2.35L Pot with Heat Exchanger is an excellent addition to any cookset. The heat exchanger reduces the time to boil, making your stove energy efficient and saving fuel when cooking so you don't have to carry as much. This pot also comes with a lid, pot gripper, and a pot holder which all store inside the included mesh bag.</t>
  </si>
  <si>
    <t xml:space="preserve">
If you like to brew a good strong cup of coffee using your favorite gourmet grinds out on the trail, then the Esbit Coffee Maker is just what you need for a chilly morning in camp. Just remove the stove stand that stores neatly inside the stainless steel coffee maker, fill up the coffee pot with water, put in the grounds holder and put your grounds on top, screw the lid on, place it on the stove and light up the solid fuel tablet. Place your coffee cup underneath the spout and when the coffee is ready it will flow directly into your cup. When your done cleaning up your coffee maker it all stores inside the coffee pot in a compact size.</t>
  </si>
  <si>
    <t>Coffee pot includes a safety valve, a very fine coffee filter, a stand with tablet tray that holds Esbit solid fuel in place, and a flame extinguisher.</t>
  </si>
  <si>
    <t>Makes approximately 1 cup (200 ml) of coffee.</t>
  </si>
  <si>
    <t>Volume: 8.1 oz. (240 ml); Dimensions-packed: 4.3" x 4.25" (11 cm x 10.8 cm); Weight: 10.6 oz. (300 g)</t>
  </si>
  <si>
    <t>Polished cutting surface.</t>
  </si>
  <si>
    <t>Polished mouthpiece.</t>
  </si>
  <si>
    <t>Foldable to reduce pack size.</t>
  </si>
  <si>
    <t>Dimensions—packed: 1.1" x 4.2" (2.7 cm x 10.7 cm); Weight: 0.6 oz. (16 g)</t>
  </si>
  <si>
    <t>Dimensions—packed: 0.8" x 4.0" (2.1 cm x 10.2 cm); Weight: 0.4 oz. (12 g)</t>
  </si>
  <si>
    <t>Dimensions—packed: 1.5" x 4.1" (3.9 cm x 10.4 cm); Weight: 0.6 oz. (18 g)</t>
  </si>
  <si>
    <t>The foldable Esbit Titanium Spoon should be part of the standard equipment of any trip. Thanks to titanium, it is not only ultralight, but it also folds, and can be easily placed almost anywhere in your pack.</t>
  </si>
  <si>
    <t>The foldable Esbit Titanium Fork should be part of the standard equipment of any trip. Thanks to titanium, it is not only ultralight, but it also folds, and can be easily placed almost anywhere in your pack.</t>
  </si>
  <si>
    <t>The foldable Esbit Titanium Knife should be part of the standard equipment of any trip. Thanks to titanium, it is not only ultralight, but it also folds, and can be easily placed almost anywhere in your pack.</t>
  </si>
  <si>
    <t>The robust Esbit Titanium Cutlery Set, suitable for universal use, saves where it counts: on weight. It is extremely light and visually attractive too – thanks to its exceptional design. The eating and cutting surfaces are painstakingly polished and a heat-resistant, silicone sleeve conveniently holds together the cutlery set when it's not in use.</t>
  </si>
  <si>
    <t>Includes a knife, fork, and spoon.</t>
  </si>
  <si>
    <t>Deep spoon is suitable for soups.</t>
  </si>
  <si>
    <t>Practical sleeve made of heat-resistant silicone conveniently holds the cutlery together.</t>
  </si>
  <si>
    <t>Dimensions—packed: 1.6" x 7.1" (4.0 cm x 18.1 cm); Weight: 1.5 oz. (42 g)</t>
  </si>
  <si>
    <t>Robust vacuum flask with double-walled construction of high-quality, 18/8 stainless steel; BPA-free.</t>
  </si>
  <si>
    <t>Vacuum Flask, 1L / 1000 ml</t>
  </si>
  <si>
    <t>Food Jug, 0.75L / 750 ml</t>
  </si>
  <si>
    <t>Reliable vacuum insulation keeps beverages hot or cold for 24 hours.</t>
  </si>
  <si>
    <t>Each flask includes 1 double-walled, stainless steel lid/drinking cup (8.5 oz./250 ml) plus 1 plastic drinking cup (4.5 oz./135 ml).</t>
  </si>
  <si>
    <t>Easy to use screw plug with pouring function.</t>
  </si>
  <si>
    <t>Dimensions:  11.625" x 3.5" (29.5 cm x 9 cm); Weight:  20.8 oz. (589 g)</t>
  </si>
  <si>
    <t>Whatever the day may bring, nothing much can go wrong with this German vacuum flask. Not only will its high-quality vacuum insulation technology keep cold drinks cold and hot drinks hot for a long time, it is also very robust and dependable for almost any activity. It has a 1 litre capacity and a special feature is its compact double-walled high–grade stainless steel cup. There is also an extra plastic cup included. A very useful feature is its combined screw and pouring closure.</t>
  </si>
  <si>
    <t>Robust food jug with double-walled construction of high-quality, 18/8 stainless steel; BPA-free.</t>
  </si>
  <si>
    <t>Reliable vacuum insulation keeps meals hot or cold for 24 hours.</t>
  </si>
  <si>
    <t>Included fold-away, stainless steel spoon conveniently nests in the screw plug.</t>
  </si>
  <si>
    <t>Double-walled, stainless steel lid also serves as a bowl (10.5 oz./310 ml).</t>
  </si>
  <si>
    <t>Large mouth opening allows easy filling, eating from, and cleaning of food jug.</t>
  </si>
  <si>
    <t>Dimensions:  6.625" x 4.3" (16.5 cm x 10.9 cm); Weight:  19.3 oz. (548 g)</t>
  </si>
  <si>
    <t>When the day demands a lot, you will sometimes lack the energy to prepare a proper meal. On these days, this robust, double-walled, high-grade stainless steel food jug is just what you need. Designed in Germany, it has a capacity of 0.75 litres. Its high-quality vacuum insulation technology will keep hot food hot or cold food cold for a long time. The double-wall high-grade stainless steel lid can also be used as a bowl. The stopper incorporates an integrated, foldable, high-grade stainless steel spoon.</t>
  </si>
  <si>
    <t>Compact, collapsible design makes it easy to pack or carry for picnics, car camping, tailgating, or boating; Constructed from durable, high-quality stainless steel.</t>
  </si>
  <si>
    <t>Three level, height-adjustable grate with removable handle. Stand for stability.</t>
  </si>
  <si>
    <t>Charcoal bag allows one portion of charcoal to be stored inside the packed charcoal grill (charcoal not included).</t>
  </si>
  <si>
    <t>Charcoal bag is nylon with a waterproof internal coating plus webbing and buckle closure.</t>
  </si>
  <si>
    <t>Carrier bag organizes and stores everything in one bag.</t>
  </si>
  <si>
    <t>Carrier bag is nylon with a waterproof coating. Adjustable shoulder strap with pad plus hook and loop closure.</t>
  </si>
  <si>
    <t>Dimensions-packed: 12" x 9.1" x 3.5" (30.5 cm x 23 cm x 9 cm); Dimensions-built: 12" x 9.1" x 7.1" (30.5 cm x 23 cm x 18 cm); Weight: 5 lbs. 4 oz. (2.38 kg)</t>
  </si>
  <si>
    <t xml:space="preserve">
The Foldable BBQ Box is a portable "All-In-One" solution for a tasty grilling adventure on the way or at home outside. The well-proven folding technique of the Esbit solid fuel Pocket Stove has been adapted to a charcoal grill. Its compact size allows an easy transport and space-saving storage. An outstanding feature is the charcoal bag which is included in the package. Different to other portable grills, Esbit's Foldable BBQ Box has been constructed in a way that the filled charcoal bag can be carried inside the grill.</t>
  </si>
  <si>
    <t>BBQ-ing is a successful combination of enjoyment and adventure. A little comfort during this original outdoor experience is no contradiction, however. The stainless steel stand for BBQ300S is the best proof of this. It provides a comfortable working height of about 24"/61 cm (including charcoal grill), with a tray for storage. The legs can be screwed in and removed easily and the nylon bag with zip fastener can be stored easily inside the charcoal BBQ when not in use.</t>
  </si>
  <si>
    <t>Constructed of high-quality stainless steel.</t>
  </si>
  <si>
    <t>Legs easily screw into the Esbit Foldable BBQ Box (sold separately) to provide a comfortable working height of about 24"/61 cm (including the Grill)</t>
  </si>
  <si>
    <t>Practical tray for storage.</t>
  </si>
  <si>
    <t>Can be stored inside the Foldable BBQ Box.</t>
  </si>
  <si>
    <t>High-quality nylon bag with zip fastener.</t>
  </si>
  <si>
    <t>Dimensions-packed: 11" x 8.9" x 1.2" (28 cm x 22.5 cm x 3 cm); Dimensions-built: 11.8" x 8.9" x 11" (30 cm x 22.5 cm x 28 cm); Weight: 1 lb. 12 oz. (785 g)</t>
  </si>
  <si>
    <t>Contains 24 packages of: Swedish FireSteel 2.0, Grandpa's FireFork, Pack-up-Cup, plus the "Little Book of Tips'n Tricks".</t>
  </si>
  <si>
    <t>Contains 24 packages of: Spork titanium, Spork original, SporkCase, and a Spork cleaner.</t>
  </si>
  <si>
    <t>S-AAT</t>
  </si>
  <si>
    <t>Add-a-Twist</t>
  </si>
  <si>
    <t>Super bright LED provides infinitely adjustable brightness up to 150 lumens.</t>
  </si>
  <si>
    <t>R4 XP-G2 CREE LED provides infinitely adjustable brightness up to 170 lumens.</t>
  </si>
  <si>
    <t>R3 XP-E CREE LED provides infinitely adjustable brightness up to 180 lumens; Burns on high for 6-8 hours or low for up to 100 hours.</t>
  </si>
  <si>
    <t>Strobe mode: flashing light for up to 24 hours.</t>
  </si>
  <si>
    <t>On/off switch is integrated into the lens and glows in the dark.</t>
  </si>
  <si>
    <t>USB cable included; D-ring for hanging.</t>
  </si>
  <si>
    <t>100-240V charger and USB cable included.</t>
  </si>
  <si>
    <t>USB cable included.</t>
  </si>
  <si>
    <t>3.7V 1800mAh Li-ion rechargeable battery; Burns on for up to 80 hours.</t>
  </si>
  <si>
    <t>Durable, water-resistant ABS/TPE housing.</t>
  </si>
  <si>
    <t>LED light indicates battery level and charging status.</t>
  </si>
  <si>
    <t>Light up your campsite or workspace with the tough, water-resistant Pika USB Charger + Lantern + Flashlight. Delivering maximum brightness and functionality in a 4.0 oz. package, it’s loaded with 150 lumens and a range of brightness levels. Transform the Pika into a focused beam by pushing the head down, and then charge your digital devices through its USB charging port. When its long-lasting rechargeable battery needs a boost, juice it up by plugging it into a standard electrical socket. - See more at: http://ucogear.com/pika-3-in-1-rechargeable-lantern.html#sthash.AVxKvP5U.dpuf</t>
  </si>
  <si>
    <t>Dimensions: 1.875" x 1.25" x 4.125" (4.8 cm x 3.2 cm x 10.5); Dimensions—tape: 1 7/8'' x 36'' (67.5 in²); Weight (w/o fuel): 3.4 oz. (95 g)</t>
  </si>
  <si>
    <t>Three feet of strong, versatile utility tape that tears off easily by hand and adheres well to metal, plastics, fabrics, etc. for temporary repairs, binding, sealing or marking.</t>
  </si>
  <si>
    <t>The small, powerful UCO Clarus Lantern + Flashlight is one of the most lightweight, versatile lights you’ll ever own. Built for adventure, it’s reliable, convenient and sheds up to 118 lumens of light wherever you need it. Use it as a lantern and adjust the brightness to high, mid or dim—useful if battery power needs to be conserved—or push the head down and collapse it into a flashlight when you need a focused beam of light. Activate the strobe function in an emergency; the hanging hook makes hands-free operation a snap.</t>
  </si>
  <si>
    <t>Start your 10 essentials survival kit with the Stormproof Survival Kit! The essentials for fire, cooking, and shelter all in a compact bag. The UCO Survival Stormproof Match Kit contains 15 compact Stormproof Matches that will stay lit for up to 12 seconds and will light in any weather—plus they will relight even after being submerged in water! The Esbit® Emergency Stove is easy to fold into the cooking position for use then will fold flat for storage. It includes three 14 g Esbit solid fuel tablets that burn about 12 minutes each—enough time to boil some water or reheat some food in a pot (not included). The polyester film tube tent provides compact emergency protection for two adults that retains/reflects back 90% of body heat to help keep you warm.</t>
  </si>
  <si>
    <t>Dimensions—packed: 6.75" x 1.75" x 6.25" (17.1 cm x 4.4 cm x 15.9 cm); Weight: 8.8 oz. (250 g)</t>
  </si>
  <si>
    <t>Grab the Mini Candle Lantern Kit and start your adventure! The kit includes a Mini Candle Lantern, two UCO 4-hour tealight candles, two UCO citronella tealight candles, and a fleece bag for storage. The Mini Candle Lantern is a safe and convenient source of light and warmth both outdoors and in. Lightweight and fueled by a tealight candle, it’s ideal for ultralight hiking, bike touring and world travel, as well as a handy light to use around the home.</t>
  </si>
  <si>
    <t>We took one of the best camp hacks of all time and wrapped it around this beast of a torch! That’s right, this handy triple-jet butane torch has 3 feet of strong utility tape wrapped around it, ready to go! Keep it handy for that bonfire beach party with friends or just any time you need to light up or fix something on the fly. Easily tear off a piece of tape to make a splint, fix your tent pole, patch your mattress, or prank your friends when out in the wild. The Stormproof Torch is a refillable butane lighter with triple-jet power and an adjustable flame. Hook it to your backpack or hang it from your belt with the carabiner. Fix-it quick and stay lit and with this rapid fire torch.</t>
  </si>
  <si>
    <t>Triple-jet butane torch has more flame surface area and an adjustable flame height; Torch can be removed from the case and used on its own.</t>
  </si>
  <si>
    <t>Piezo-Electric Ignition System good for over 30,000 ignitions that burn clean.</t>
  </si>
  <si>
    <t>Refillable butane lighter (butane not included); Holds 3g of butane, enough for approximately 700 ignitions.</t>
  </si>
  <si>
    <t>Waterproof design uses durable ABS and a double-interference silicon lid.</t>
  </si>
  <si>
    <t>Aluminum carabiner clip allows easy attachment to a bag, belt, or loop.</t>
  </si>
  <si>
    <t>10054269001237</t>
  </si>
  <si>
    <t>20054269001234</t>
  </si>
  <si>
    <t>10054269001046</t>
  </si>
  <si>
    <t>20054269001043</t>
  </si>
  <si>
    <t>10054269001275</t>
  </si>
  <si>
    <t>20054269001272</t>
  </si>
  <si>
    <t>20054269100333</t>
  </si>
  <si>
    <t>20054269100302</t>
  </si>
  <si>
    <t>20054269100937</t>
  </si>
  <si>
    <t>20054269100906</t>
  </si>
  <si>
    <t>10054269001572</t>
  </si>
  <si>
    <t>20054269001579</t>
  </si>
  <si>
    <t>10054269000421</t>
  </si>
  <si>
    <t>20054269000428</t>
  </si>
  <si>
    <t>10054269000414</t>
  </si>
  <si>
    <t>20054269000411</t>
  </si>
  <si>
    <t>10054269000407</t>
  </si>
  <si>
    <t>20054269000404</t>
  </si>
  <si>
    <t>30054269001217</t>
  </si>
  <si>
    <t>40054269001214</t>
  </si>
  <si>
    <t>M-11733</t>
  </si>
  <si>
    <t>Bulk Display</t>
  </si>
  <si>
    <t>Gold Haze</t>
  </si>
  <si>
    <t>Hunting</t>
  </si>
  <si>
    <t>Classic</t>
  </si>
  <si>
    <t>M-12540</t>
  </si>
  <si>
    <t>Craft</t>
  </si>
  <si>
    <t>Kitchen</t>
  </si>
  <si>
    <t>Gutting</t>
  </si>
  <si>
    <t>M-1-1030S-P</t>
  </si>
  <si>
    <t>Fish Slaughter Knife 1030SP</t>
  </si>
  <si>
    <t>M-1-1040S-P</t>
  </si>
  <si>
    <t>Fish Slaughter Knife 1040SP</t>
  </si>
  <si>
    <t>M-1-1591P</t>
  </si>
  <si>
    <t>Roe &amp; Bleeding Knife 1591P</t>
  </si>
  <si>
    <t>Boning</t>
  </si>
  <si>
    <t>M-10973</t>
  </si>
  <si>
    <t>Curved Boning CB5MF-E</t>
  </si>
  <si>
    <t>M-121-5040</t>
  </si>
  <si>
    <t>Straight Wide Boning 9130P</t>
  </si>
  <si>
    <t>Filleting</t>
  </si>
  <si>
    <t>Butcher</t>
  </si>
  <si>
    <r>
      <t>Frosts</t>
    </r>
    <r>
      <rPr>
        <sz val="10"/>
        <rFont val="Calibri"/>
        <family val="2"/>
      </rPr>
      <t>®</t>
    </r>
  </si>
  <si>
    <t>Replacement Fire Starter for Bushcraft Survival</t>
  </si>
  <si>
    <t>BLADE LENGTH (in)</t>
  </si>
  <si>
    <t>BLADE THICKNESS (mm)</t>
  </si>
  <si>
    <t>Steel Type</t>
  </si>
  <si>
    <t>Bushcraft Tactical (w/ MOLLE sheath)</t>
  </si>
  <si>
    <t>Bushcraft Tactical SRT (w/ MOLLE sheath)</t>
  </si>
  <si>
    <t>Bushcraft Survival Black</t>
  </si>
  <si>
    <t>Bushcraft Survival Orange</t>
  </si>
  <si>
    <t>Companion Orange</t>
  </si>
  <si>
    <t>Companion Black</t>
  </si>
  <si>
    <t>Companion Magenta</t>
  </si>
  <si>
    <t>Companion Green</t>
  </si>
  <si>
    <t>Companion Blue</t>
  </si>
  <si>
    <t>Orange, Black, Blue, Green, Magenta</t>
  </si>
  <si>
    <t>Companion Heavy Duty MG</t>
  </si>
  <si>
    <t>Companion Heavy Duty Orange</t>
  </si>
  <si>
    <t>Companion Tactical (w/ MOLLE sheath)</t>
  </si>
  <si>
    <t>Companion F Serrated</t>
  </si>
  <si>
    <t>Companion F Rescue</t>
  </si>
  <si>
    <t>Classic Scout 39 Safe</t>
  </si>
  <si>
    <t>Birchwood</t>
  </si>
  <si>
    <t>8211.92.6000</t>
  </si>
  <si>
    <t>Polyester film tube tent: Compact emergency protection in all weather conditions; retains/reflects back 90% of body heat; accommodates 2 Adults - 59'' x 94.5'' (150 cm x 240 cm); nylon cord included</t>
  </si>
  <si>
    <t>Outdoor Axe</t>
  </si>
  <si>
    <t>1.10 / 0.31</t>
  </si>
  <si>
    <t>Morakniv 2000</t>
  </si>
  <si>
    <t>Outdoor Kit (Axe &amp; 2000)</t>
  </si>
  <si>
    <t>6.0 / 2.5</t>
  </si>
  <si>
    <t>4.5 / 4.3</t>
  </si>
  <si>
    <t>12.7 / 8.7</t>
  </si>
  <si>
    <t>Fishing Comfort Fillet 090</t>
  </si>
  <si>
    <t>Black/Lime</t>
  </si>
  <si>
    <t>Fishing Comfort Fillet 155</t>
  </si>
  <si>
    <t>Marine Rescue</t>
  </si>
  <si>
    <t>7391846012344</t>
  </si>
  <si>
    <t>Hunting Set 3000 (2 knives &amp; 1 sharpener)</t>
  </si>
  <si>
    <t>5.75 / 6.22 / 6.6</t>
  </si>
  <si>
    <t>Red Birchwood</t>
  </si>
  <si>
    <t>Classic Craftsmen No. 601</t>
  </si>
  <si>
    <t>Classic Craftsmen No. 611</t>
  </si>
  <si>
    <t>Classic Craftsmen No. 612</t>
  </si>
  <si>
    <t>8211.92.9060</t>
  </si>
  <si>
    <t>Woodcarving Basic</t>
  </si>
  <si>
    <t>Woodcarving Jr. 73/164</t>
  </si>
  <si>
    <t>Woodcarving Hook No. 162</t>
  </si>
  <si>
    <t>Woodcarving Hook No. 163</t>
  </si>
  <si>
    <t>Woodcarving Hook No. 164</t>
  </si>
  <si>
    <t>Classic Wood Splitter No. 220</t>
  </si>
  <si>
    <t>Woodcarving No. 105</t>
  </si>
  <si>
    <t>Woodcarving No. 106</t>
  </si>
  <si>
    <t>Woodcarving No. 120</t>
  </si>
  <si>
    <t>Woodcarving No. 122</t>
  </si>
  <si>
    <t>Morakniv 711</t>
  </si>
  <si>
    <t>Morakniv 746</t>
  </si>
  <si>
    <t>Morakniv 731</t>
  </si>
  <si>
    <t>748 MG</t>
  </si>
  <si>
    <t>Morakniv 749</t>
  </si>
  <si>
    <t>Craftsmen 175P Carpet/Roofing/Leather</t>
  </si>
  <si>
    <t>7391846015086</t>
  </si>
  <si>
    <t>7391846015062</t>
  </si>
  <si>
    <t>7391846017196</t>
  </si>
  <si>
    <t>7391846015147</t>
  </si>
  <si>
    <t>7391846015161</t>
  </si>
  <si>
    <t>7391846015208</t>
  </si>
  <si>
    <t>7391846015123</t>
  </si>
  <si>
    <t>7391846015185</t>
  </si>
  <si>
    <t>7391846015048</t>
  </si>
  <si>
    <t>Red/Charcoal</t>
  </si>
  <si>
    <t>Blue/Charcoal</t>
  </si>
  <si>
    <t>Purple/Charcoal</t>
  </si>
  <si>
    <t>Lt. Blue/Charcoal</t>
  </si>
  <si>
    <t>Lime/Charcoal</t>
  </si>
  <si>
    <t>Tan/Charcoal</t>
  </si>
  <si>
    <t>Hardwood/Brass</t>
  </si>
  <si>
    <t>7391846015109</t>
  </si>
  <si>
    <t>Charcoal/Yellow</t>
  </si>
  <si>
    <t>7391846015222</t>
  </si>
  <si>
    <t>Classic 1891 Chef's Knife</t>
  </si>
  <si>
    <t>8211.92.9030</t>
  </si>
  <si>
    <t>Classic 1891 Utility Knife</t>
  </si>
  <si>
    <t>Classic 1891 Bread Knife</t>
  </si>
  <si>
    <t>Classic 1891 Fillet Knife</t>
  </si>
  <si>
    <t>Classic 1891 Paring Knife</t>
  </si>
  <si>
    <t>Classic 1891 3-Pack (Chef, Bread, Paring)</t>
  </si>
  <si>
    <t>Steak Knife Gift Set</t>
  </si>
  <si>
    <t>Curly Birch</t>
  </si>
  <si>
    <t>Steak Knife Classic Gift Set</t>
  </si>
  <si>
    <t>Diamond Sharpener S</t>
  </si>
  <si>
    <t>6804.30.3000</t>
  </si>
  <si>
    <t>Diamond Sharpener L-Fine</t>
  </si>
  <si>
    <t>7316220059005</t>
  </si>
  <si>
    <t>8211.94.1000</t>
  </si>
  <si>
    <t>Knife Blade No. 1 Carbon</t>
  </si>
  <si>
    <t>Laminated Carbon</t>
  </si>
  <si>
    <t>Knife Blade No. 1 Laminated Carbon</t>
  </si>
  <si>
    <t>Knife Blade No. 2 Carbon</t>
  </si>
  <si>
    <t>Knife Blade No. 2 Laminated Carbon</t>
  </si>
  <si>
    <t>8211.92.2000</t>
  </si>
  <si>
    <t>Stiff</t>
  </si>
  <si>
    <t>7316220052105</t>
  </si>
  <si>
    <t>Gutting Knife 352P w/ Spoon</t>
  </si>
  <si>
    <t>Gutting Knife 9152P w/ Spoon</t>
  </si>
  <si>
    <t>Flexible</t>
  </si>
  <si>
    <t>TOTAL KNIFE LENGTH (in) or BLADE PROPERTY</t>
  </si>
  <si>
    <t>Blade Thickness: 0.08"</t>
  </si>
  <si>
    <t>Frosts®</t>
  </si>
  <si>
    <t>Gutting Knife 299P w/ Spoon</t>
  </si>
  <si>
    <t>Medium-Flex</t>
  </si>
  <si>
    <t>Gutting Knife 299 w/ Spoon</t>
  </si>
  <si>
    <t>7316220051900</t>
  </si>
  <si>
    <t>Curved Narrow Boning 9124PG</t>
  </si>
  <si>
    <t>Curved Narrow Boning 7154PG</t>
  </si>
  <si>
    <t>Straight Narrow Boning 7151PG</t>
  </si>
  <si>
    <t>Straight Wide Boning 7179PG</t>
  </si>
  <si>
    <t>Fillet Knife 9151PG</t>
  </si>
  <si>
    <t>Skinning Knife 7146UG</t>
  </si>
  <si>
    <t>Butcher Knife 149S G2WG</t>
  </si>
  <si>
    <t>Butcher Knife 147S G2WG</t>
  </si>
  <si>
    <t>Scandinavian Trimming Knife 7215PG</t>
  </si>
  <si>
    <t>Butcher Knife 7253UG</t>
  </si>
  <si>
    <t>Butcher Knife 7305UG</t>
  </si>
  <si>
    <t>Equus Farrier’s Knife 330</t>
  </si>
  <si>
    <t>7391846012887</t>
  </si>
  <si>
    <t>7391846012894</t>
  </si>
  <si>
    <t>Black plastic sheath with belt loop.</t>
  </si>
  <si>
    <t>Blade Thickness: 3.2 mm; Blade Length: 4.3" (109 mm); Total Length: 9.1" (232 mm); Net Weight: 5.7 oz. (162 g)</t>
  </si>
  <si>
    <t>Ergonomic handle with high-friction rubber grip gives the feeling of control, making work easier, as if the knife were an extension of your hand.</t>
  </si>
  <si>
    <r>
      <t>A knife in the Bushcraft family with a black 0.125" (3.2 mm) thick blade that is one of the most sturdy knives we have ever made. The carbon steel blade has a black coating which protects against corrosion. You can use the back of the blade with a fire starter (not included) as the 90</t>
    </r>
    <r>
      <rPr>
        <sz val="10"/>
        <rFont val="Calibri"/>
        <family val="2"/>
      </rPr>
      <t>°</t>
    </r>
    <r>
      <rPr>
        <sz val="10"/>
        <rFont val="Arial"/>
        <family val="2"/>
      </rPr>
      <t xml:space="preserve"> spine of the blade is sharp and ground especially for that purpose. The plastic sheath comes with a belt loop.</t>
    </r>
  </si>
  <si>
    <t>30054269000180</t>
  </si>
  <si>
    <t>30054269000357</t>
  </si>
  <si>
    <r>
      <t>The 90</t>
    </r>
    <r>
      <rPr>
        <sz val="10"/>
        <color rgb="FF1C1C1E"/>
        <rFont val="Calibri"/>
        <family val="2"/>
      </rPr>
      <t xml:space="preserve">° </t>
    </r>
    <r>
      <rPr>
        <sz val="10"/>
        <color rgb="FF1C1C1E"/>
        <rFont val="Arial"/>
        <family val="2"/>
      </rPr>
      <t>spine of the blade has been ground especially for use with a fire starter (sold separately).</t>
    </r>
  </si>
  <si>
    <t>Semi-serrated blade of stainless steel with black anti-corrosion coating.</t>
  </si>
  <si>
    <t>Blade Thickness: 3.2 mm; Blade Length: 4.3" (109 mm); Total Length: 9.1" (232 mm); Net Weight: 5.7 oz. (163 g)</t>
  </si>
  <si>
    <t>A semi-serrated knife in the Bushcraft family with a black 0.125" (3.2 mm) thick blade that is one of the most sturdy knives we have ever made. The stainless steel blade has a black coating which protects against corrosion. You can use the back of the blade with a fire starter (not included) as the 90° spine of the blade is sharp and ground especially for that purpose. The plastic sheath comes with a belt loop.</t>
  </si>
  <si>
    <t>Black MOLLE-compatible sheath of heavy-duty nylon.</t>
  </si>
  <si>
    <t>Blade Thickness: 3.2 mm; Blade Length: 4.3" (109 mm); Total Length: 9.1" (232 mm); Net Weight: 6.3 oz. (180 g)</t>
  </si>
  <si>
    <t>A knife in the Bushcraft family with a black 0.125" (3.2 mm) thick blade that is one of the most sturdy knives we have ever made. The carbon steel blade has a black coating which protects against corrosion. You can use the back of the blade with a fire starter (not included) as the spine of the blade is sharp and ground especially for that purpose. Black MOLLE-compatible sheath of heavy-duty nylon.</t>
  </si>
  <si>
    <t>A semi-serrated knife in the Bushcraft family with a black 0.125" (3.2 mm) thick blade that is one of the most sturdy knives we have ever made. The carbon steel blade has a black coating which protects against corrosion. You can use the back of the blade with a fire starter (not included) as the 90° spine of the blade is sharp and ground especially for that purpose. Black MOLLE-compatible sheath of heavy-duty nylon.</t>
  </si>
  <si>
    <t>The 90° spine of the blade is sharp and ground especially for use with a fire starter.</t>
  </si>
  <si>
    <t>Black plastic sheath with interchangeable belt loop and belt clip plus integrated diamond sharpener and fire starter.</t>
  </si>
  <si>
    <t>The integrated fire starter yields approximately 7,000 strikes and creates sparks at 5430 F° (3000 C°) making it easy to light a fire in any kind of weather—rain or snow and at any altitude.</t>
  </si>
  <si>
    <t>The integrated fire starter can ignite gas stoves or grills and the spark is so bright, it can also be used as an emergency signal.</t>
  </si>
  <si>
    <t>Blade Thickness: 3.2 mm; Blade Length: 4.3" (109 mm); Total Length: 9.1" (232 mm); Net Weight: 8.1 oz. (229 g)</t>
  </si>
  <si>
    <t>All-around knife with a profile-ground blade of Swedish cold-rolled special stainless steel.</t>
  </si>
  <si>
    <t>Patterned high-friction grip.</t>
  </si>
  <si>
    <t>Blade Thickness: 2.5 mm; Blade Length: 4.3" (109 mm); Total Length: 9.1" (232 mm); Net Weight: 5.0 oz. (142 g)</t>
  </si>
  <si>
    <t>A first-rate, all-around knife with a profile-ground blade of Swedish cold-rolled special stainless steel. Comfortable handle with a patterned high-friction grip. Forest green plastic sheath with a belt loop.</t>
  </si>
  <si>
    <t>The 90° spine of the blade is sharp and ground especially for use with a fire starter (sold separately).</t>
  </si>
  <si>
    <t>Knife with a 3.2 mm thick carbon steel blade with anti-corrosion coating.</t>
  </si>
  <si>
    <t>Razor sharp 3.2 mm thick carbon steel blade with black anti-corrosive coating.</t>
  </si>
  <si>
    <t>Knife with a 3.2 mm thick stainless steel blade that stays sharp for a long time.</t>
  </si>
  <si>
    <t>The blade is ridgeground especially for use with a fire starter (sold separately).</t>
  </si>
  <si>
    <t>Forest green plastic sheath with belt loop.</t>
  </si>
  <si>
    <t>Orange plastic sheath with a belt loop.</t>
  </si>
  <si>
    <t>Blade Thickness: 3.2 mm; Blade Length: 4.3" (109 mm); Total Length: 9.1" (232 mm); Net Weight: 6.1 oz. (174 g)</t>
  </si>
  <si>
    <t>Bushcraft in orange keeps you from losing your knife while the 0.125" (3.2 mm) thick stainless steel blade is heavier and more robust. You can use the back of the blade with a fire starter (not included) as the 90° spine of the blade is sharp and ground especially for that purpose. The plastic sheath comes with a belt loop.</t>
  </si>
  <si>
    <t xml:space="preserve">Knife with a 3.2 mm thick stainless steel blade that stays sharp for a long time. </t>
  </si>
  <si>
    <t xml:space="preserve">The blade is ridgeground especially for use with a fire starter. </t>
  </si>
  <si>
    <t>Orange plastic sheath with interchangeable belt loop and belt clip plus integrated diamond sharpener and fire starter.</t>
  </si>
  <si>
    <t>Blade Thickness: 3.2 mm; Blade Length: 4.3" (109 mm); Total Length: 9.1" (232 mm); Net Weight: 7.5 oz. (212 g)</t>
  </si>
  <si>
    <t>A razor sharp blade with a distinct tip, an all-weather Morakniv® fire starter and a diamond sharpener make the Bushcraft Survival Orange the natural choice for those who love the great outdoors. The 0.125" (3.2 mm) thick Swedish stainless steel blade stays sharp for a long time, is extremely tolerant against wear and has considerable cutting strength. The blade is ground especially for use with the fire starter. The robust sheath is provided with a well thought out space for the fire starter and completed with a diamond sharpener, making it easy to sharpen the knife blade. An orange handle with high-friction grip gives the finishing touch to the Bushcraft Survival Orange and minimizes the risk of losing your knife. A knife that suits a tough lifestyle! Bring the fire starter on your outdoor tour and be able to light a fire wherever you are. Just pull the specially designed knife back slowly and heavily along the fire starter. The sparks easily light your barbecue, paper, birch bark or dry grass.</t>
  </si>
  <si>
    <t>Bring the fire starter on your outdoor tour and be able to light a fire wherever you are. Just pull the specially designed knife back slowly and heavily along the fire starter. The sparks easily light your barbecue, paper, birch bark or dry grass. For use with knives that have been ground for use with a fire starter and as a replacement fire starter in the Morakniv Bushcraft Survival Orange or Bushcraft Survival Black.</t>
  </si>
  <si>
    <t>Yields approximately 7,000 strikes.</t>
  </si>
  <si>
    <t>Ignites stoves and gas grills.</t>
  </si>
  <si>
    <t xml:space="preserve">The spark is so bright, it can also be used as an emergency signal. </t>
  </si>
  <si>
    <t xml:space="preserve">Sparks of 5430 F° (3000 C°) makes it easy to light a fire in any kind of weather—rain or snow and at any altitude. </t>
  </si>
  <si>
    <r>
      <t>Sturdy 6.7"/170 mm blade of high carbon steel with a black anti-corrosion coating. The 90</t>
    </r>
    <r>
      <rPr>
        <sz val="10"/>
        <rFont val="Calibri"/>
        <family val="2"/>
      </rPr>
      <t>°</t>
    </r>
    <r>
      <rPr>
        <sz val="10"/>
        <rFont val="Arial"/>
        <family val="2"/>
      </rPr>
      <t xml:space="preserve"> spine of the blade has been ground especially for use with a fire starter (not included). Black MOLLE-compatible sheath of heavy-duty nylon.</t>
    </r>
  </si>
  <si>
    <t>Blade Thickness: 3.2 mm; Blade Length: 6.7" (170 mm); Total Length: 11.6" (295 mm); Net Weight: 8.8 oz. (250 g)</t>
  </si>
  <si>
    <t>Pathfinder</t>
  </si>
  <si>
    <t>Knife with a 2.5 mm thick cold-rolled stainless steel blade.</t>
  </si>
  <si>
    <t>Scandinavian grind produces a very sharp edge with excellent control of the cut and is easy to sharpen.</t>
  </si>
  <si>
    <t>Ergonomic handle with patterned high-friction rubber grip gives the feeling of control, making work easier, as if the knife were an extension of your hand.</t>
  </si>
  <si>
    <t>Color-matching plastic sheath with belt clip.</t>
  </si>
  <si>
    <t>Blade Thickness: 2.5 mm; Blade Length: 4.1" (104 mm); Total Length: 8.5" (217 mm); Net Weight: 4.1 oz. (116 g)</t>
  </si>
  <si>
    <t>The all-in-one knife for outdoor buffs with a blade of Swedish cold-rolled special stainless steel. The patterned high-friction grip that makes the knife pleasant to hold and easy to handle. Plastic sheath with a belt clip.</t>
  </si>
  <si>
    <t>Knife with a 2.0 mm thick carbon steel blade.</t>
  </si>
  <si>
    <t>The all-in-one knife for outdoor buffs with a blade of carbon steel. The patterned high-friction grip that makes the knife pleasant to hold and easy to handle. Plastic sheath with a belt clip.</t>
  </si>
  <si>
    <t>Forest green plastic sheath with belt clip.</t>
  </si>
  <si>
    <t>Orange plastic sheath with belt clip.</t>
  </si>
  <si>
    <t>Black plastic sheath with belt clip.</t>
  </si>
  <si>
    <t>Magenta plastic sheath with belt clip.</t>
  </si>
  <si>
    <t>Green plastic sheath with belt clip.</t>
  </si>
  <si>
    <t>Cyan plastic sheath with belt clip.</t>
  </si>
  <si>
    <t>Blade Thickness: 2.0 mm; Blade Length: 4.1" (104 mm); Total Length: 8.5" (217 mm); Net Weight: 3.9 oz. (110 g)</t>
  </si>
  <si>
    <t>Knife with a 3.2 mm thick carbon steel blade.</t>
  </si>
  <si>
    <t>Extra-large ergonomic handle with soft, high-friction rubber grip gives the feeling of control, making work easier, as if the knife were an extension of your hand.</t>
  </si>
  <si>
    <t>Blunter edge angle of 27° for maximum sharpness retention.</t>
  </si>
  <si>
    <t>Blade Thickness: 3.2 mm; Blade Length: 4.1" (104 mm); Total Length: 8.8" (224 mm); Net Weight: 4.8 oz. (135 g)</t>
  </si>
  <si>
    <t>Companion Heavy Duty is a powerful tool for bushcrafters, hunters and outdoor people. If you need a knife that has great strength requirements, we recommend the Companion Heavy Duty with its three-layer injection molding and the slightly blunter edge angle of 27° for maximum sharpness retention (default is otherwise an angle of 23°). The knife has an extra-large ergonomic handle with a soft, high-friction grip. The knife has a blade of 0.125" (3.2 mm) thick carbon steel with high-load capacity. The classic scandi grind combined with high-quality carbon steel makes the knife easy to resharpen. Plastic sheath with a belt clip.</t>
  </si>
  <si>
    <t>Companion BlackBlade</t>
  </si>
  <si>
    <t>Coated blade helps prevent corrosion and reflection.</t>
  </si>
  <si>
    <t>Blade Thickness: 2.5 mm; Blade Length: 4.1" (104 mm); Total Length: 8.5" (217 mm); Net Weight: 5.7 oz. (160 g)</t>
  </si>
  <si>
    <t>Blade of stainless steel with a black ED-coating which gives the blade a dark-colored layer, approximately 20μm thick. When used, the primary edge will eventually be scraped off and thereby reach maximum sharpness. Not for use with fire starter. Plastic sheath with belt clip.</t>
  </si>
  <si>
    <t>Blade of stainless steel with a black ED-coating which gives the blade a dark-colored layer, approximately 20µm thick. When used, the primary edge will eventually be scraped off and thereby reach maximum sharpness. Not for use with fire starter. Black MOLLE-compatible sheath of heavy-duty nylon.</t>
  </si>
  <si>
    <t>Serrated blade for cutting rope, nylon and fiber.</t>
  </si>
  <si>
    <t>Blade Thickness: 2.5 mm; Blade Length: 4.1" (104 mm); Total Length: 8.6" (218 mm); Net Weight: 4.1 oz. (116 g)</t>
  </si>
  <si>
    <t>Knife with a patterned high-friction grip and serrated blade that has been developed for cutting rope, nylon, and fiber. Blade of Swedish cold-rolled special stainless steel. Plastic sheath with a belt clip.</t>
  </si>
  <si>
    <t>Knife with a 2.5 mm thick cold-rolled stainless steel blade and a blunt safety tip.</t>
  </si>
  <si>
    <t>Blade Thickness: 2.5 mm; Blade Length: 3.9" (99 mm); Total Length: 8.4" (214 mm); Net Weight: 4.1 oz. (116 g)</t>
  </si>
  <si>
    <t>Knife with a patterned high-friction grip and serrated blade that has been developed for cutting rope, nylon, and fiber. The blade of Swedish cold-rolled special stainless steel has a blunt safety tip. Plastic sheath with a belt clip.</t>
  </si>
  <si>
    <t>Blade Thickness: 2.0 mm; Blade Length: 4.1" (103 mm); Total Length: 8.5" (216 mm); Net Weight: 3.6 oz. (103 g)</t>
  </si>
  <si>
    <t>An adaptable knife with a patterned high-friction grip that makes the knife pleasant to hold and easy to handle. Carbon steel blade and plastic sheath with a belt clip.</t>
  </si>
  <si>
    <t>Black plastic sheath.</t>
  </si>
  <si>
    <t>Blade Thickness: 2.0 mm; Blade Length: 3.7" (95 mm); Total Length: 8.2" (208 mm); Net Weight: 3.5 oz. (100 g)</t>
  </si>
  <si>
    <t>High-quality, all-round carbon steel wilderness blade with a black, ergonomically designed plastic handle that is impact resistant. Black plastic sheath included.</t>
  </si>
  <si>
    <t>Ergonomic plastic handle that is impact resistant.</t>
  </si>
  <si>
    <t>Knife with a 2.0 mm thick stainless steel blade and a blunt safety tip.</t>
  </si>
  <si>
    <t>Oiled birchwood handle.</t>
  </si>
  <si>
    <t>Double-finger protection.</t>
  </si>
  <si>
    <t>Blade Thickness: 2.0 mm; Blade Length: 3.3" (85 mm); Total Length: 6.9" (175 mm); Net Weight: 2.4 oz. (69 g)</t>
  </si>
  <si>
    <t>A classic outdoor knife with double-finger protection and an oiled birchwood handle. The knife has a blade of stainless steel with a blunt safety tip and comes with a black leather sheath.</t>
  </si>
  <si>
    <t>Leather sheath for axe head.</t>
  </si>
  <si>
    <t>Blade Thickness: 6.0 mm; Blade Length: 4.5" (115 mm); Total Length: 12.7" (322 mm); Net Weight: 17.6 oz. (500 g)</t>
  </si>
  <si>
    <t>Axe head of black epoxy coated boron steel. Reinforced plastic handle. Leather sheath.</t>
  </si>
  <si>
    <t>The Outdoor 2000 knife is high-quality with a profile-ground, multifunctional blade as well as a patterned, high-friction grip handle. Able to handle everything from fine carpentry work to cable scaling, which makes this knife a favorite among carpenters, electricians and construction workers. Blade of Swedish cold-rolled special stainless steel. Orange plastic sheath with a flexible leather strap.
Axe head of black epoxy coated boron steel. Reinforced plastic handle. Leather sheath.</t>
  </si>
  <si>
    <t>Knife with a 2.5 mm thick profile-ground stainless steel blade.</t>
  </si>
  <si>
    <t>Orange plastic sheath with flexible leather strap.</t>
  </si>
  <si>
    <t>Axe Specs: Blade Thickness: 6.0 mm; Blade Length: 4.5" (115 mm); Total Length: 12.7" (322 mm); Net Weight: 17.6 oz. (500 g)</t>
  </si>
  <si>
    <t>Forest green plastic sheath with flexible leather strap.</t>
  </si>
  <si>
    <t>Blade Thickness: 2.5 mm; Blade Length: 4.3" (109 mm); Total Length: 8.7" (220 mm); Net Weight: 5.0 oz. (141 g)</t>
  </si>
  <si>
    <t>Knife Specs: Blade Thickness: 2.5 mm; Blade Length: 4.3" (109 mm); Total Length: 8.7" (220 mm); Net Weight: 5.0 oz. (141 g)</t>
  </si>
  <si>
    <t>High-quality knife with a profile-ground, multifunctional blade as well as a patterned, high-friction grip handle. Able to handle everything from fine carpentry work to cable scaling, which makes this knife a favorite among carpenters, electricians and construction workers. Blade of Swedish cold-rolled special stainless steel. Forest green plastic sheath with a flexible leather strap.</t>
  </si>
  <si>
    <t>Handle of laminated hardwood and brass.</t>
  </si>
  <si>
    <t>Knife with a 3.0 mm thick cold-rolled stainless steel blade. Full tang.</t>
  </si>
  <si>
    <t>Black leather sheath with belt loop.</t>
  </si>
  <si>
    <t>Leather sheath with belt loop.</t>
  </si>
  <si>
    <t>Blade Thickness: 3.0 mm; Blade Length: 3.7" (95 mm); Total Length: 7.9" (200 mm); Net Weight: 8.8 oz. (250 g)</t>
  </si>
  <si>
    <t>Handmade hunting knife with a blade of Swedish cold-rolled special stainless steel plus a handle of laminated hardwood and brass. Leather sheath with belt loop.</t>
  </si>
  <si>
    <t>Knife with a 2.7 mm thick laminated steel blade.</t>
  </si>
  <si>
    <t>Handle of hardwood and brass.</t>
  </si>
  <si>
    <t>Blade Thickness: 2.7 mm; Blade Length: 4.0" (101 mm); Total Length: 8.1" (205 mm); Net Weight: 6.3 oz. (180 g)</t>
  </si>
  <si>
    <t>Handmade hunting knife with a laminated steel blade and a handle of hardwood and brass. Dark brown leather sheath with belt loop.</t>
  </si>
  <si>
    <t>Knife with a 1.6 mm thick cold-rolled stainless steel blade.</t>
  </si>
  <si>
    <t> The real horsehair brush is easily accessible to brush away debris without damaging the mushroom. </t>
  </si>
  <si>
    <t>Ergonomically designed plastic handle is comfortable to hold.</t>
  </si>
  <si>
    <t>Plastic "Easy-Clean" sheath can be hung from your belt or buttonhole, keeping it within reach.</t>
  </si>
  <si>
    <t>Swedish cold-rolled special stainless steel blade and a real horsehair brush to brush away debris without damaging the mushroom. Plastic "Easy-Clean" sheath can hang from belt.</t>
  </si>
  <si>
    <t>Blade Thickness: 1.6 mm; Blade Length: 2.4" (62 mm); Total Length: 5.6" (141 mm); Net Weight: 1.9 oz. (55 g)</t>
  </si>
  <si>
    <t>Knife with a 2.0 mm thick blade of Swedish cold-rolled special stainless steel with inside edge.</t>
  </si>
  <si>
    <t>Plastic "Easy-Clean" sheath.</t>
  </si>
  <si>
    <t>Blade Thickness: 2.0 mm; Blade Length: 2.6" (66 mm); Total Length: 7.1" (180 mm); Net Weight: 3.9 oz. (111 g)</t>
  </si>
  <si>
    <t>Blade of Swedish cold-rolled special stainless steel with inside edge. Plastic handle and plastic "Easy-Clean" sheath.</t>
  </si>
  <si>
    <t xml:space="preserve">Set with a boning knife, skinning knife, and a sharpening steel that are packaged in a practical carrying case. </t>
  </si>
  <si>
    <t>Knives have blades of Swedish cold-rolled special stainless steel.</t>
  </si>
  <si>
    <t>Sharpening steel has a comfortable rubber handle and a long steel rod that makes sharpening knives quick and easy.</t>
  </si>
  <si>
    <t>Knives have an ergonomically designed rubber handle with a patterned high-friction grip and finger protection.</t>
  </si>
  <si>
    <t>Set with a skinning and boning knife plus a sharpening steel that is packaged in a practical carrying case. The knives have an ergonomically designed handle with a patterned high-friction grip, finger protection and blades of Swedish cold-rolled special stainless steel. The knives will stay sharp and ready with the handy sharpening steel.</t>
  </si>
  <si>
    <t>Knives and sharpening steel are packaged in a practical carrying case. Net weight: 12 oz. (337 g).</t>
  </si>
  <si>
    <t>Boning Knife: Blade Thickness: 1.3 mm; Blade Length: 5.75" (146 mm); Total Length: 10.2" (260 mm)</t>
  </si>
  <si>
    <t>10.2 / 10.5 / 11.4</t>
  </si>
  <si>
    <t>Sharpening Steel: Rod Length: 6.6" (168 mm); Total Length: 11.4" (289 mm)</t>
  </si>
  <si>
    <t>Skinning Knife: Blade Thickness: 2.0 mm; Blade Length: 6.2" (158 mm); Total Length: 10.5" (267 mm)</t>
  </si>
  <si>
    <t>Peggable Blister Card</t>
  </si>
  <si>
    <t>Sand</t>
  </si>
  <si>
    <t>Black/Green</t>
  </si>
  <si>
    <t>The Morakniv Bushcraft Survival Black is an indispensable tool for a variety of outdoor, hunting, emergency, or tactical applications. High carbon steels are preferred in applications that demand durability and frequent regrinding and at the core is the Bushcraft Black knife with its razor-sharp, burly 1/8-inch (3.2 mm) thick carbon steel blade treated with an anti-corrosive black coating. The scandi grind makes it a perfect Bushcraft knife as it prevents the knife from slipping off easily, bites into the surface without getting stuck, is sharp, and stays sharp longer. The 4.3” (109 mm) long blade is relatively thin making it easier to carve with. It comes with a black plastic sheath, with interchangeable belt clip and belt loop, that holds a Morakniv Fire Starter (included) and features an integrated diamond sharpener, making it easy to sharpen the blade. The spine of the blade is ridge ground so that it can be used with the Morakniv fire starter that lasts approximately 7,000 strikes and produces a 3,000 degree spark, even when wet. The ergonomic handle with high-friction rubber grip gives the feeling of control, making work easier and more enjoyable, as if the knife were an extension of your hand. To further avoid corrosion, clean and wipe knife dry plus oil the blade after each use.</t>
  </si>
  <si>
    <t>Blade Thickness: 1.3 mm; Blade Length: 3.5" (90 mm); Total Length: 8.0" (204 mm); Net Weight: 3.3 oz. (93 g)</t>
  </si>
  <si>
    <t>A short filleting knife with a blade of Swedish cold-rolled special stainless steel. Patterned high-friction grip handle and black plastic sheath with belt clip.</t>
  </si>
  <si>
    <t>Short filleting knife with a 1.3 mm thick cold-rolled stainless steel blade.</t>
  </si>
  <si>
    <t>A short cleaning knife with a serrated back for scaling. Suitable for carving. Blade of Swedish cold-rolled special stainless steel. Patterned high-friction grip handle and black plastic sheath with belt clip.</t>
  </si>
  <si>
    <t>Cleaning and scaling knife with a 2.0 mm thick cold-rolled stainless steel blade.</t>
  </si>
  <si>
    <t>Blade Thickness: 2.0 mm; Blade Length: 3.9" (98 mm); Total Length: 8.4" (214 mm); Net Weight: 3.7 oz. (104 g)</t>
  </si>
  <si>
    <t>Long filleting knife with a 1.9 mm thick cold-rolled stainless steel blade.</t>
  </si>
  <si>
    <t>Plastic "Easy-Clean" sheath with two interchangeable belt clips.</t>
  </si>
  <si>
    <t>Blade Thickness: 1.9 mm; Blade Length: 6.1" (155 mm); Total Length: 10.6" (270 mm); Net Weight: 3.5 oz. (99 g)</t>
  </si>
  <si>
    <t>A long filleting knife with a blade of Swedish cold-rolled special stainless steel. Patterned high-friction grip handle and "Easy-Clean" sheath with two interchangeable belt clips - one belt loop and one belt clip.</t>
  </si>
  <si>
    <t>Long cleaning and scaling knife with a 2.0 mm thick cold-rolled stainless steel blade.</t>
  </si>
  <si>
    <t>Blade Thickness: 2.0 mm; Blade Length: 5.9" (150 mm); Total Length: 10.4" (265 mm); Net Weight: 4.1 oz. (115 g)</t>
  </si>
  <si>
    <t>Knife with a 2.0 mm thick cold-rolled stainless steel blade.</t>
  </si>
  <si>
    <t>Impact-resistant plastic handle with substantial finger protection.</t>
  </si>
  <si>
    <t>Serrated blade for cutting rope, nylon and fiber with a blunt tip.</t>
  </si>
  <si>
    <t>Blade Thickness: 2.0 mm; Blade Length: 3.9" (100 mm); Total Length: 7.8" (198 mm); Net Weight: 3.4 oz. (97 g)</t>
  </si>
  <si>
    <t>Long allround knife with a serrated back for scaling. Blade of Swedish cold-rolled special stainless steel. Patterned high-friction grip handle and "Easy-Clean" sheath with two interchangeable belt clips - one belt loop and one belt clip.</t>
  </si>
  <si>
    <t>Marine knife with a serrated edge and blunt tip plus an impact-resistant plastic handle with substantial finger protection. Blade of Swedish stainless steel. Plastic sheath.</t>
  </si>
  <si>
    <t>Now we have joined the qualities that made the knife from Mora so prized by the campfire and joined them with the modern kitchen's needs. The result is a series of beautiful and timeless kitchen knives produced in Mora. And in line with our tradition, it is the user that has shaped the outcome.
Chef's knife has a blade length of 22 cm. The blade has an integrated finger stop. The knife has an excellent balance. The beveled tip allows safe handling and prevents stick injuries.</t>
  </si>
  <si>
    <t>Blade has an integrated finger stop.</t>
  </si>
  <si>
    <t>The knife has excellent balance.</t>
  </si>
  <si>
    <t>Beveled tip allows safe handling and prevents stick injuries.</t>
  </si>
  <si>
    <t>Handle of red-stained Swedish birch.</t>
  </si>
  <si>
    <t>Blade Thickness: 2.5 mm; Blade Length: 8.7" (220 mm); Total Length: 13.6" (345 mm); Net Weight: 6.2 oz. (175 g)</t>
  </si>
  <si>
    <t>Handle of black-stained Swedish birch.</t>
  </si>
  <si>
    <t xml:space="preserve">Ergonomically designed to avoid knuckles from hitting the chopping board. </t>
  </si>
  <si>
    <t>Progressive curved edge makes it easy to cut through bread.</t>
  </si>
  <si>
    <t>Blade Thickness: 2.5 mm; Blade Length: 9.7" (246 mm); Total Length: 14.6" (371 mm); Net Weight: 5.5 oz. (157 g)</t>
  </si>
  <si>
    <t>Blade has an integrated finger stop and slightly rounded tip for safe handling.</t>
  </si>
  <si>
    <t>Developed for cutting onions and other vegetables.</t>
  </si>
  <si>
    <t>Blade Thickness: 2.0 mm; Blade Length: 5.0" (128 mm); Total Length: 9.2" (233 mm); Net Weight: 3.3 oz. (94 g)</t>
  </si>
  <si>
    <t>Blade increases in flexibility towards the tip for smooth filleting.</t>
  </si>
  <si>
    <t>Blade has a stop that prevents the hand from slipping up over the blade.</t>
  </si>
  <si>
    <t>Blade Thickness: 2.5 mm; Blade Length: 7.4" (188 mm); Total Length: 12.3" (313 mm); Net Weight: 4.1 oz. (116 g)</t>
  </si>
  <si>
    <t>Designed to peel and chop fruits and vegetables.</t>
  </si>
  <si>
    <t>Blade Thickness: 2.2 mm; Blade Length: 3.3" (85 mm); Total Length: 7.5" (190 mm); Net Weight: 2.8 oz. (78 g)</t>
  </si>
  <si>
    <t>Blades of stainless steel that stays sharp for a long time.</t>
  </si>
  <si>
    <t>Set of 3 includes a Chef, Bread, and Paring knife.</t>
  </si>
  <si>
    <t>Chef's Knife: Blade Thickness: 2.5 mm; Blade Length: 8.7" (220 mm); Total Length: 13.6" (345 mm); Net Weight: 6.2 oz. (175 g)
Bread Knife: Blade Thickness: 2.5 mm; Blade Length: 9.7" (246 mm); Total Length: 14.6" (371 mm); Net Weight: 5.5 oz. (157 g)
Paring Knife: Blade Thickness: 2.2 mm; Blade Length: 3.3" (85 mm); Total Length: 7.5" (190 mm); Net Weight: 2.8 oz. (85 g)</t>
  </si>
  <si>
    <t>Now we have joined the qualities that made the knife from Mora so prized by the campfire and joined them with the modern kitchen's needs. The result is a series of beautiful and timeless kitchen knives produced in Mora. And in line with our tradition, it is the user that has shaped the outcome.
Chef's knife has a blade length of 22 cm. The blade has an integrated finger stop. The knife has an excellent balance. The beveled tip allows safe handling and prevents stick injuries. The bread knife has a blade length of 24 cm. It is ergonomically designed to avoid knuckles from hitting the chopping board. It has a progressive curved edge which makes it to easy to cut through the bread. The most versatile blade in the kitchen, the paring knife has an 8 cm long blade to peel and chop fruits and vegetables.</t>
  </si>
  <si>
    <t>Now we have joined the qualities that made the knife from Mora so prized by the campfire and joined them with the modern kitchen's needs. The result is a series of beautiful and timeless kitchen knives produced in Mora. And in line with our tradition, it is the user that has shaped the outcome.
Utility knife has a convenient blade of 13 cm with integrated finger stop and slightly rounded tip for safe handling. The knife has been developed for cutting onions and other vegetables.</t>
  </si>
  <si>
    <t>Now we have joined the qualities that made the knife from Mora so prized by the campfire and joined them with the modern kitchen's needs. The result is a series of beautiful and timeless kitchen knives produced in Mora. And in line with our tradition, it is the user that has shaped the outcome.
The bread knife has a blade length of 24 cm. It is ergonomically designed to avoid knuckles from hitting the chopping board. It has a progressive curved edge which makes it to easy to cut through the bread.</t>
  </si>
  <si>
    <t>Now we have joined the qualities that made the knife from Mora so prized by the campfire and joined them with the modern kitchen's needs. The result is a series of beautiful and timeless kitchen knives produced in Mora. And in line with our tradition, it is the user that has shaped the outcome.
Fillet knife has a 19 cm long blade with increasing flexibility towards the blade tip to ensure smooth filleting. The knife suits most fish sizes, and can also be used to polish membranes from roasts. The blade has a stop that prevents the hand from slipping up over the blade.</t>
  </si>
  <si>
    <t>Now we have joined the qualities that made the knife from Mora so prized by the campfire and joined them with the modern kitchen's needs. The result is a series of beautiful and timeless kitchen knives produced in Mora. And in line with our tradition, it is the user that has shaped the outcome.
The most versatile blade in the kitchen, the paring knife has an 8 cm long blade to peel and chop fruits and vegetables.</t>
  </si>
  <si>
    <t>Blades with a hardness of 58 RC and heat treated for strength and maximum edge retention.</t>
  </si>
  <si>
    <t>Blade Thickness: 2.5 mm; Blade Length: 4.8" (122 mm); Total Length: 8.9" (225 mm); Net Weight: 3.5 oz. (100 g)</t>
  </si>
  <si>
    <t>A real Morakniv® made in Mora, Sweden.
The blade of our steak knife is made from high-quality, cold-rolled stainless steel that after hardening has excellent sharpness retention—a feature not normally associated with stainless steel and a hardness of 58 HRC. The knife blade is heat treated to achieve an extreme level of strength and toughness as well as maximum edge lifetime. The process is a well-kept corporate secret. The handle is made from carefully selected masur birch.
Tradition and quality.
A Morakniv® is a work knife that is easy to hold and handle. This concept appealed to award-winning chef Mathias Dahlgren when he chose a steak knife from Mora of Sweden for his new restaurant at the Grand Hôtel in Stockholm. Designer Mårten Cyrén made as few changes as possible to retain the knife's identity and tradition. The knives in the dining room of the Grand Hôtel look and feel like a real Morakniv®.
Worth caring for.
Our steak knife has a stainless steel blade and the edge can be honed with a fine Arkansas Bench Stone. Drop a small amount of oil on the stone lubricating the surface. Move the blade either in small circular motions or along the edge, making it easier to control the angle of the knife edge to the honer. This also minimizes the risk of scratches on the blade. Finish by wiping away any remains of raw edge with a piece of leather or rough cloth. Never put your knife in the dishwasher, and rub the handle with hard wax oil every now and then.</t>
  </si>
  <si>
    <t>Blade Thickness: 2.0 mm; Blade Length: 4.2" (106 mm); Total Length: 8.1" (205 mm); Net Weight: 3.7 oz. (104 g)</t>
  </si>
  <si>
    <t>Black plastic sheath with interchangeable belt loop.</t>
  </si>
  <si>
    <t>Military green plastic sheath with belt clip.</t>
  </si>
  <si>
    <t>50054269000184</t>
  </si>
  <si>
    <t>10054269000179</t>
  </si>
  <si>
    <t>20054269000176</t>
  </si>
  <si>
    <t>10054269000452</t>
  </si>
  <si>
    <t>20054269000459</t>
  </si>
  <si>
    <t>10054269000360</t>
  </si>
  <si>
    <t>20054269000367</t>
  </si>
  <si>
    <t>10054269000193</t>
  </si>
  <si>
    <t>20054269000190</t>
  </si>
  <si>
    <t>Knife with a 2.5 mm thick carbon steel blade.</t>
  </si>
  <si>
    <t>Red birchwood handle.</t>
  </si>
  <si>
    <t>Black plastic sheath with a belt clip.</t>
  </si>
  <si>
    <t>Blade Thickness: 2.5 mm; Blade Length: 2.9" (74 mm); Total Length: 6.7" (170 mm); Net Weight: 1.8 oz. (50 g)</t>
  </si>
  <si>
    <t>Grey/Charcoal</t>
  </si>
  <si>
    <t>Black/Military Green</t>
  </si>
  <si>
    <t>Serrated blade of 2.5 mm thick stainless steel that stays sharp for a long time.</t>
  </si>
  <si>
    <t>Blade of 2.5 mm thick stainless steel that stays sharp for a long time.</t>
  </si>
  <si>
    <t>Blade of 2.0 mm thick stainless steel that stays sharp for a long time.</t>
  </si>
  <si>
    <t>Blade of 2.2 mm thick stainless steel that stays sharp for a long time.</t>
  </si>
  <si>
    <t>Set of two handmade knives with 2.5 mm thick cold-rolled stainless steel blades.</t>
  </si>
  <si>
    <t>Curly birch handles.</t>
  </si>
  <si>
    <t>Painted red birchwood handles.</t>
  </si>
  <si>
    <t>Set of two handmade knives with 2.0 mm thick cold-rolled stainless steel blades.</t>
  </si>
  <si>
    <t>Knife Blade No. 2/0</t>
  </si>
  <si>
    <t>Knife Blade No. 3</t>
  </si>
  <si>
    <t>Knife Blade No. 95</t>
  </si>
  <si>
    <t>Knife Blade No. 106</t>
  </si>
  <si>
    <t>Knife Blade No. 120</t>
  </si>
  <si>
    <t>Knife Blade No. 2000</t>
  </si>
  <si>
    <t>10054269000339</t>
  </si>
  <si>
    <t>20054269000336</t>
  </si>
  <si>
    <t>10054269000346</t>
  </si>
  <si>
    <t>20054269000343</t>
  </si>
  <si>
    <t>10054269000315</t>
  </si>
  <si>
    <t>20054269000312</t>
  </si>
  <si>
    <t>10054269000322</t>
  </si>
  <si>
    <t>20054269000329</t>
  </si>
  <si>
    <t>50054269000351</t>
  </si>
  <si>
    <t>Pink Haze</t>
  </si>
  <si>
    <t>20054269001227</t>
  </si>
  <si>
    <t>10054269121003</t>
  </si>
  <si>
    <t>20054269121000</t>
  </si>
  <si>
    <t>10054269121102</t>
  </si>
  <si>
    <t>20054269121109</t>
  </si>
  <si>
    <t>10054269121058</t>
  </si>
  <si>
    <t>20054269121055</t>
  </si>
  <si>
    <t>10054269121256</t>
  </si>
  <si>
    <t>20054269121253</t>
  </si>
  <si>
    <t>10054269000377</t>
  </si>
  <si>
    <t>20054269000374</t>
  </si>
  <si>
    <t>10054269000384</t>
  </si>
  <si>
    <t>20054269000381</t>
  </si>
  <si>
    <t>10054269000391</t>
  </si>
  <si>
    <t>20054269000398</t>
  </si>
  <si>
    <t>ML-LESCHI</t>
  </si>
  <si>
    <t>AQUA/GOLD</t>
  </si>
  <si>
    <t>SILVER/BLACK</t>
  </si>
  <si>
    <t>Aqua/Gold</t>
  </si>
  <si>
    <t>Silver/Black</t>
  </si>
  <si>
    <t>Intova</t>
  </si>
  <si>
    <t>I-DUO</t>
  </si>
  <si>
    <t>I-X2</t>
  </si>
  <si>
    <t>AQUA</t>
  </si>
  <si>
    <t>Aqua</t>
  </si>
  <si>
    <t>I-HD2</t>
  </si>
  <si>
    <t>Duo Sport Action Cam™</t>
  </si>
  <si>
    <t>9006.30.0000</t>
  </si>
  <si>
    <t>X2 Marine Grade Action Cam™</t>
  </si>
  <si>
    <t>HD2 Marine Grade Action Cam™</t>
  </si>
  <si>
    <t>ML-HYAK</t>
  </si>
  <si>
    <r>
      <t>Hyak Lantern + Flashlight</t>
    </r>
    <r>
      <rPr>
        <sz val="10"/>
        <rFont val="Calibri"/>
        <family val="2"/>
      </rPr>
      <t>™</t>
    </r>
  </si>
  <si>
    <r>
      <t>Leschi Lantern + Flashlight</t>
    </r>
    <r>
      <rPr>
        <sz val="10"/>
        <rFont val="Calibri"/>
        <family val="2"/>
      </rPr>
      <t>™</t>
    </r>
  </si>
  <si>
    <t>054269001933</t>
  </si>
  <si>
    <t>054269001780</t>
  </si>
  <si>
    <t>054269001797</t>
  </si>
  <si>
    <t>054269001803</t>
  </si>
  <si>
    <t>ML-MADRONA</t>
  </si>
  <si>
    <r>
      <t>Madrona Tabletop Lantern</t>
    </r>
    <r>
      <rPr>
        <sz val="10"/>
        <rFont val="Calibri"/>
        <family val="2"/>
      </rPr>
      <t>™</t>
    </r>
  </si>
  <si>
    <t>HL-HUNDRED</t>
  </si>
  <si>
    <t>Hundred Headlamp™</t>
  </si>
  <si>
    <t>MT-SM-FIREFLY</t>
  </si>
  <si>
    <t>FireFly Match Case &amp; Flashlight™</t>
  </si>
  <si>
    <t>MT-TORCHBO</t>
  </si>
  <si>
    <t>Stormproof Torch &amp; Bottle Opener™</t>
  </si>
  <si>
    <t>054269001841</t>
  </si>
  <si>
    <t>GR-FPG</t>
  </si>
  <si>
    <t>054269001865</t>
  </si>
  <si>
    <r>
      <t>Flatpack Portable Grill &amp; FirePit</t>
    </r>
    <r>
      <rPr>
        <sz val="10"/>
        <rFont val="Calibri"/>
        <family val="2"/>
      </rPr>
      <t>™</t>
    </r>
  </si>
  <si>
    <t>P-UC25</t>
  </si>
  <si>
    <t>GOLD</t>
  </si>
  <si>
    <t>M-12022</t>
  </si>
  <si>
    <t>Green birchwood handle.</t>
  </si>
  <si>
    <t>Blade Thickness: 2.0 mm; Blade Length: 3.3" (85 mm); Total Length: 7.0" (178 mm); Net Weight: 2.4 oz. (69 g)</t>
  </si>
  <si>
    <t>Bright LED provides a diffused white light, in lantern mode, up to 110 lumens</t>
  </si>
  <si>
    <t>Burns up to 4 hours</t>
  </si>
  <si>
    <t>On/off button switches light levels from low to bright light to conserve batteries or strobe for emergency situations</t>
  </si>
  <si>
    <r>
      <t>Integrated shock cord in base (</t>
    </r>
    <r>
      <rPr>
        <i/>
        <sz val="10"/>
        <rFont val="Arial"/>
        <family val="2"/>
      </rPr>
      <t>patent pending</t>
    </r>
    <r>
      <rPr>
        <sz val="10"/>
        <rFont val="Arial"/>
        <family val="2"/>
      </rPr>
      <t>) allows Alki to mount to tree limbs, bars, straps, guy lines, etc. up to 1</t>
    </r>
    <r>
      <rPr>
        <sz val="10"/>
        <rFont val="Calibri"/>
        <family val="2"/>
      </rPr>
      <t>"</t>
    </r>
    <r>
      <rPr>
        <sz val="10"/>
        <rFont val="Arial"/>
        <family val="2"/>
      </rPr>
      <t xml:space="preserve"> (2.5 cm) in diameter</t>
    </r>
  </si>
  <si>
    <r>
      <t>X-120 X-ACT Fit Headlamp</t>
    </r>
    <r>
      <rPr>
        <sz val="10"/>
        <rFont val="Calibri"/>
        <family val="2"/>
      </rPr>
      <t>™</t>
    </r>
  </si>
  <si>
    <r>
      <t>X-120R X-ACT Fit Headlamp</t>
    </r>
    <r>
      <rPr>
        <sz val="10"/>
        <rFont val="Calibri"/>
        <family val="2"/>
      </rPr>
      <t>™</t>
    </r>
  </si>
  <si>
    <t>Comfortable X-ACT Fit™ system provides micro-adjustment for a custom fit.</t>
  </si>
  <si>
    <t>Battery Type (included): Three 1.5V AAA alkaline; Bulb Type: Super bright XP-E CREE LED; Highly Water Resistant: IPX 4; Fits (circumference of head): 19-26" (49-66 cm); Dimensions of Headlamp: 2.4" x 1.25" x 1.5" (6 cm x 3.2 cm x 3.9 cm); Weight (with batteries): 3.2 oz. (90 g)</t>
  </si>
  <si>
    <t>Battery Type (included): Two CR2032 Li; Bulb Type: Super bright XP-D CREE LED; Highly Water Resistant: IPX 4; Fits (circumference of head): 21-26" (53-65 cm); Dimensions of Headlamp: 2.3" x 0.65" x 1.4" (5.9 cm x 1.7 cm x 3.5 cm); Weight (with batteries): 1.6 oz. (45 g)</t>
  </si>
  <si>
    <t>3.9/5.2</t>
  </si>
  <si>
    <r>
      <t>Integrated shock cord on globe (</t>
    </r>
    <r>
      <rPr>
        <i/>
        <sz val="10"/>
        <rFont val="Arial"/>
        <family val="2"/>
      </rPr>
      <t>patent pending</t>
    </r>
    <r>
      <rPr>
        <sz val="10"/>
        <rFont val="Arial"/>
        <family val="2"/>
      </rPr>
      <t>) allows Leschi to mount to tree limbs, bars, straps, guy lines, etc. up to 1.5</t>
    </r>
    <r>
      <rPr>
        <sz val="10"/>
        <rFont val="Calibri"/>
        <family val="2"/>
      </rPr>
      <t>"</t>
    </r>
    <r>
      <rPr>
        <sz val="10"/>
        <rFont val="Arial"/>
        <family val="2"/>
      </rPr>
      <t xml:space="preserve"> (3.8 cm) in diameter</t>
    </r>
  </si>
  <si>
    <t>Battery Type (not included): One 1.5V AA alkaline; Battery Life (up to): 4 hours; Beam Projection: 279 feet (85 m); Bulb Type: Super bright LED; Highly water resistant: IPX5; Dimensions—open: 5.2" high x 1.6" diameter (13.2 cm x 4.0 cm); Dimensions—closed: 3.9" high x 1.6" diameter (9.8 cm x 4.0 cm); Weight (w/o batteries): 1.6 oz. (45 g)</t>
  </si>
  <si>
    <t>Battery Type (not included): Three 1.5V AAA alkaline; Battery Life (up to): 70 hours; Beam Projection: 164 feet (50 m); Bulb Type: Super bright R3 XP-E CREE LED; Highly water resistant: IPX6; Dimensions—open: 6.5" high x 2" diameter (16.5 cm x 5.1 cm); Dimensions—closed: 4.5" high x 2" diameter (11.4 cm x 5.1 cm); Weight (w/o batteries): 2.9 oz. (81 g)</t>
  </si>
  <si>
    <t>Battery Type (not included): Three 1.5V AAA alkaline; Battery Life (up to): 130 hours; Beam Projection: 138 feet (42 m); Bulb Type: Super bright LED; Highly water resistant: IPX6; Dimensions—open: 6.5" high x 2" diameter (16.5 cm x 5.1 cm); Dimensions—closed: 4.5" high x 2" diameter (11.4 cm x 5.1 cm); Weight (w/o batteries): 2.5 oz. (72 g)</t>
  </si>
  <si>
    <t>Battery Type (not included): Four 1.5V AA alkaline; Battery Life (up to): 190 hours; Beam Projection: 250 feet (75 m); Bulb Type: Super bright R3 XP-G CREE LED; Highly water resistant: IPX6; Dimensions—open: 8" high x 2.5" diameter (20.5 cm x 6.5 cm); Dimensions—closed: 5.5" high x 2.5" diameter (14 cm x 6.5 cm); Weight (w/o batteries): 4.8 oz. (137 g)</t>
  </si>
  <si>
    <r>
      <rPr>
        <b/>
        <sz val="10"/>
        <rFont val="Arial"/>
        <family val="2"/>
      </rPr>
      <t>Lumora Lantern + Flashlight™:</t>
    </r>
    <r>
      <rPr>
        <sz val="10"/>
        <rFont val="Arial"/>
        <family val="2"/>
      </rPr>
      <t xml:space="preserve"> Battery Type (not included): Four 1.5V AA alkaline; Battery Life (up to): 8 hours on high, 190 hours on low; Bulb Type: Super bright R3 XP-G CREE LED; Highly water resistant: IPX6; Beam Projection: 250 ft. (75 m); Dimensions—open: 8.0" high x 2.5" diameter (20.5 cm x 6.5 cm); Dimensions—closed: 5.5" high x 2.5" diameter (14 cm x 6.5 cm); Weight (w/o batteries): 4.8 oz. (137 g)   </t>
    </r>
    <r>
      <rPr>
        <b/>
        <sz val="10"/>
        <rFont val="Arial"/>
        <family val="2"/>
      </rPr>
      <t xml:space="preserve">UltraPod™: </t>
    </r>
    <r>
      <rPr>
        <sz val="10"/>
        <rFont val="Arial"/>
        <family val="2"/>
      </rPr>
      <t>Maximum Safe Load: 3 lbs (1.4 kg); Dimensions (folded): 4" x 1" x 1.25" (10.2 cm x 2.5 cm x 3.2 cm); Weight: 2 oz. (57 g)</t>
    </r>
  </si>
  <si>
    <t>Battery Type (not included): Three 1.5V AAA alkaline; Battery Life (up to): 130 hours; Beam Projection: 427 feet (130 m); Bulb Type: Super bright R3 XP-E CREE LED; Highly water resistant: IPX6; Dimensions—open: 6.4" high x 2" diameter (16.2 cm x 5.1 cm); Dimensions—closed: 4.6" high x 2" diameter (11.6 cm x 5.1 cm); Weight (w/o batteries): 3.0 oz. (85 g)</t>
  </si>
  <si>
    <t>Battery Type: 3.7V 1800mAh Li-ion rechargeable; Bulb Type: Super bright LED; Battery Life—up to: 80 hours; Highly water resistant: IPX5; Beam projection: 164' (50 m); Dimensions-open: 6.3" high x 2" diameter (16 cm x 5 cm); Dimensions-closed: 4.5" high x 2" diameter (11.5 cm x 5 cm); Weight: 4.0 oz. (113 g)</t>
  </si>
  <si>
    <t>Battery Type: 3.7V 2.6AH Li-Ion rechargeable; Bulb Type: Super bright R4 XP-G2 CREE LED; Battery Life—up to: 5 hours on high. Up to 120 hours on low; Highly water resistant: IPX5; Beam projection: 33-459' (10-140 m); Dimensions-open: 6.3" high x 2" diameter (16 cm x 5 cm); Dimensions-closed: 4.5" high x 2" diameter (11.5 cm x 5 cm); Weight: 4.3 oz. (123 g)</t>
  </si>
  <si>
    <t>Battery Type: 3.7V 4AH Li-Ion rechargeable; Bulb Type: Super bright R3 XP-E CREE LED; Battery Life—up to: 6-8 hours on high. Up to 50 hours on low; Highly water resistant: IPX5; Beam Projection: 250 ft. (75 m); Dimensions—open: 7.75" high x 2.5" diameter (19.7 cm x 6.5 cm); Dimensions—closed: 5.25" high x 2.5" diameter (13.3 cm x 6.5 cm); Weight: 8.5 oz. (241 g)</t>
  </si>
  <si>
    <t>Rechargeable, collapsible, and highly water-resistant (IPX5) lantern and flashlight doubles as a charger for USB devices such as a phone, camera, or GPS</t>
  </si>
  <si>
    <t>Rechargeable, collapsible, and highly water-resistant (IPX5) lantern and flashlight doubles as a charger for USB devices such as a phone, camera, or GPS.</t>
  </si>
  <si>
    <t>Compact, lightweight, collapsible lantern and flashlight is highly water resistant (IPX6)</t>
  </si>
  <si>
    <t>Collapsible lantern and flashlight is highly water-resistant (IPX6) and rugged yet easy to transport; Bright R3 XP-G CREE LED provides a diffused white light, in lantern mode, up to 180 lumens</t>
  </si>
  <si>
    <t>Collapsible lantern and flashlight is highly water-resistant (IPX6) and rugged yet easy to transport</t>
  </si>
  <si>
    <t>Compact, lightweight, collapsible lantern and flashlight is highly water resistant (IPX5)</t>
  </si>
  <si>
    <r>
      <t>Tetra 3-in-1 Rechargeable Lantern</t>
    </r>
    <r>
      <rPr>
        <sz val="10"/>
        <rFont val="Calibri"/>
        <family val="2"/>
      </rPr>
      <t>™</t>
    </r>
  </si>
  <si>
    <t>054269001971</t>
  </si>
  <si>
    <t>M-12057</t>
  </si>
  <si>
    <t>7391846013044</t>
  </si>
  <si>
    <t>High-quality knife with a profile-ground, multifunctional blade as well as a patterned, high-friction grip handle. Able to handle everything from fine carpentry work to cable scaling, which makes this knife a favorite among carpenters, electricians and construction workers. Blade of Swedish cold-rolled special stainless steel. Highly visible orange plastic sheath with a flexible leather strap.</t>
  </si>
  <si>
    <t>Pink Metal &amp; Pirate Gold</t>
  </si>
  <si>
    <t>PM-PG</t>
  </si>
  <si>
    <t>PT-SL</t>
  </si>
  <si>
    <t>PIRATE GLD</t>
  </si>
  <si>
    <t>S-P-GDFSSC</t>
  </si>
  <si>
    <r>
      <t>Glow-in-the-Dark Swedish FireSteel 2.0</t>
    </r>
    <r>
      <rPr>
        <sz val="10"/>
        <rFont val="Calibri"/>
        <family val="2"/>
      </rPr>
      <t>®</t>
    </r>
    <r>
      <rPr>
        <sz val="10"/>
        <rFont val="Arial"/>
        <family val="2"/>
      </rPr>
      <t xml:space="preserve"> scout, 16-count, Display</t>
    </r>
  </si>
  <si>
    <t>Contains 16 Light My Fire Glow-in-the-Dark Swedish FireSteel 2.0 Scouts.</t>
  </si>
  <si>
    <t>054269200251</t>
  </si>
  <si>
    <t>I-POL2</t>
  </si>
  <si>
    <t>I-CUL2</t>
  </si>
  <si>
    <t>I-RED2</t>
  </si>
  <si>
    <t>I-MAG2</t>
  </si>
  <si>
    <t>I-DOME2</t>
  </si>
  <si>
    <t>I-BAT2</t>
  </si>
  <si>
    <t>Polarized Filter for X2/HD2</t>
  </si>
  <si>
    <t>Close Up Lens for X2/HD2</t>
  </si>
  <si>
    <t>Red Filter for X2/HD2</t>
  </si>
  <si>
    <t>Magenta Filter for X2/HD2</t>
  </si>
  <si>
    <t>Dome Port for X2/HD2</t>
  </si>
  <si>
    <t>Spare Battery for X2/HD2</t>
  </si>
  <si>
    <t>Beige</t>
  </si>
  <si>
    <t>Cosmic</t>
  </si>
  <si>
    <t>Hawaii</t>
  </si>
  <si>
    <t>Northern</t>
  </si>
  <si>
    <t>Turquoise</t>
  </si>
  <si>
    <t>MT-E-FIREFLY</t>
  </si>
  <si>
    <t>FireFly Match Case &amp; Flashlight™ (No matches included)</t>
  </si>
  <si>
    <t>M-12635</t>
  </si>
  <si>
    <t>M-12642</t>
  </si>
  <si>
    <t>7391846017493</t>
  </si>
  <si>
    <t>Compact, collapsible lantern and flashlight is highly water resistant (IPX6).</t>
  </si>
  <si>
    <t>Shock cord mounting system in base allows for Hyak to mount to bars, trees, guy lines, etc.</t>
  </si>
  <si>
    <t>Can and bottle mount system securely elevates lighting.</t>
  </si>
  <si>
    <t>4 lighting modes - low, medium, high, and strobe mode.</t>
  </si>
  <si>
    <t>Up to 180 lumens on high power.</t>
  </si>
  <si>
    <t>The Madrona Hang-Out lantern has a Magnetic lanyard hanging system that allows for quick attachment and removal. Place the lantern on its base for traditional use, or elevate from lanyard and hang from tent, tree or other object.  Three super bright CREE LED’s provde output of up to 250 lumens to light up your campsite. The Infinity Dial allows fine tuning of light output from low to high. Powered by 3 D-cell batteries (not included). Blue LED mode. Dimensions: 9.5" x 3.75" x 3.75" (24 cm x 9.5 cm x 9.5 cm)  Weight 14.6 oz. (413 g).  1 year warranty.</t>
  </si>
  <si>
    <t>Magnetic lanyard hanging system allows for quick attachment and removal.</t>
  </si>
  <si>
    <t>Three super bright CREE LED’s provide output of up to 250 lumens.</t>
  </si>
  <si>
    <t>Infinity Dial allows fine tuning of light output from low to high.</t>
  </si>
  <si>
    <t>Powered by 3 D-cell batteries.</t>
  </si>
  <si>
    <t>Blue LED mode.</t>
  </si>
  <si>
    <t>The X-120 X-ACT FIT HEADLAMP™ is a powerful headlamp with a comfortable fit.  The Comfortable X-ACT Fit™ system located on the side and back of the band provides a microadjustment for a custom fit.  Unique, no “hard point” hinge design fits your head perfectly and allows the lamp to focus forward or down towards the ground.  Settings include flood, spot, and red night vision modes.  Dial provides transition between light modes and adjusts brightness continuously from 0 to 120 lumens. CREE XP-E LED.  IPX-4 water resistance. Uses 3 AAA batteries (included).  Battery life up to 160 hours.  Dimensions: 2.4" x 1.25" x 1.5" (6 cm x 3.2 cm x 3.9 cm) Weight: (w/ batteries) 3.2 oz. (90 g).  1 year warranty.</t>
  </si>
  <si>
    <t>The X-120R X-ACT FIT HEADLAMP™ is a powerful headlamp with a comfortable fit.  This version is powered by a Li-ion battery pack with integrated micro USB input (or it can use 3 AAA batteries). The Comfortable X-ACT Fit™ system located on the side and back of the band provides a microadjustment for a custom fit.  Unique, no “hard point” hinge design fits your head perfectly and allows the lamp to focus forward or down towards the ground.  Settings include flood, spot, and red night vision modes.  Dial provides transition between light modes and adjusts brightness continuously from 0 to 120 lumens. CREE XP-E LED.  IPX-4 water resistance.  Battery life up to 130 hours.  Dimensions: 2.4" x 1.25" x 1.5" (6 cm x 3.2 cm x 3.9 cm) Weight: (w/ batteries) 2.95 oz. (85 g).  1 year warranty.</t>
  </si>
  <si>
    <t>Hingeless design keeps the headlamp close to the forehead.</t>
  </si>
  <si>
    <t>Stylized elastic headband and real wood headlamp inlay.</t>
  </si>
  <si>
    <t xml:space="preserve"> Optical lens has independent articulation to direct light where you need it.</t>
  </si>
  <si>
    <t>Super bright LED provdes up to 100 lumens.</t>
  </si>
  <si>
    <t xml:space="preserve">Simple button operation brightness adjustment: High, medium, and low. </t>
  </si>
  <si>
    <t>Cast a broad swath of light from almost anywhere with our smallest LED light to date! Pack the innovative Leschi Lantern + Flashlight when you need a versatile, lightweight, compact source of light to illuminate your adventures. The convenient, patent-pending integrated shock cord in the base of the Leschi enables you to hang and focus the lantern from both horizontal and vertical surfaces. No longer limited to a pole or limb that will accept a hook or string, the  Leschi Lantern + Flashlight can be lashed to a tree limb, tent pole, guy line, bar, strap or flagpole! Push the globe down to transform the lantern into a handy flashlight for reading in bed or to accompany you on late-night forays out of your tent. Offers three lighting modes, including a strobe mode. Burns up to 4 hours or 7 hours on strobe.  Battery Type (not included): One 1.5V AA alkaline; Battery Life (up to): 4 hours; Beam Projection: 279 feet (85 m); Bulb Type: Super bright LED; Highly water resistant: IPX5; Dimensions—open: 5.2" high x 1.6" diameter (13.2 cm x 4.0 cm); Dimensions—closed: 3.9" high x 1.6" diameter (9.8 cm x 4.0 cm); Weight (w/o batteries): 1.6 oz. (45 g)</t>
  </si>
  <si>
    <t xml:space="preserve">The best of both worlds: DUO- a new breed of Action Cam that combines low cost with high performance, photo with video, and at home in or out of the water. Video resolution is 720p HD.  Still image resolution - 1.3MP sensor with selectable 2, 3 &amp; 5 MP (interpolation) settings.  The compact and rugged housing is waterproof to 100 feet, floats and available in multiple colors. This fun camera is an imaging tool for all ages.  Low cost and high performance.  Built in 1.7" LCD screen.  4X zoom.  Compact and rugged housing.  Rechargeable Li-Ion batteries.  Wrist lanyard included. MicroSD Compatible (not included). 1 year warranty.
</t>
  </si>
  <si>
    <t>720p HD Video, Up to 5 MP still photo resolution</t>
  </si>
  <si>
    <t>Rechargeable Li-Ion batteries</t>
  </si>
  <si>
    <t>Wrist lanyard included</t>
  </si>
  <si>
    <t>Built in 1.7" LCD screen</t>
  </si>
  <si>
    <t>Built to float</t>
  </si>
  <si>
    <t>Built in 100 lumen photo flash/video light</t>
  </si>
  <si>
    <t>Rechargeable and removable Li-ion battery (up to 2 hour battery life)</t>
  </si>
  <si>
    <t>1080p 60 fps resolution video and 16MP still image resolution</t>
  </si>
  <si>
    <t xml:space="preserve">Built-in 2” TFT LCD screen </t>
  </si>
  <si>
    <t>WIFI remote app available (iOS or Android) smartphone or tablet</t>
  </si>
  <si>
    <t xml:space="preserve">A brighter world with the click of a button. Intova’s X2 Waterproof Action Cam is the first in its class to offer a built-in 100 lumen light that can be used as a flash for photography or as a constant light for video. Capture high-definition 1080p video and stunning photos of any adventure and in any environment including low-light, evening and night settings. The X2 works with the Intova App, making it possible to control most camera functions, preview live video and share photos and videos via email and social media with a iOS phones. The included battery boasts two hours of life and is both removable and rechargeable; ideal for anyone planning an extended adventure. X2’s rugged housing is built with a rubber armor coating to withstand the harshest conditions both on land, up to 330 feet below water and everywhere in between. A built-in 2” TFT LCD screen allows for optimum control of capturing content as well as a no fuss, stress free menu system for customizing the camera’s settings. Easily capture any adventure, in any setting, anytime of the day. </t>
  </si>
  <si>
    <t>A brighter world with the click of a button. The HD2 Waterproof Action Camera is the first in its class to include a built-in flash and video light. Capture high-definition video and stunning photos in low-light, evening or night-time settings. The included battery boasts two hours of life and is both removable and rechargeable; ideal for anyone planning an extended adventure. Mount the camera in hard to reach places (such as the front of a SUP board and kayak) and control the camera’s on/off and video and photo functions with the remote. HD2’s polycarbonate, rugged housing is built to withstand the harshest conditions both on land, up to 330 feet below water and everywhere in between. A built-in 2” TFT LCD screen allows for optimum control of capturing content as well as a no fuss, stress free menu system for customizing the camera’s settings. Easily capture any adventure, in any setting, anytime of the day.</t>
  </si>
  <si>
    <t>Water-resistant RF Remote</t>
  </si>
  <si>
    <t>1080p 30 fps resolution video and 8MP still image resolution</t>
  </si>
  <si>
    <t>The Firefly is a match container + flashlight + bottle opener all in 1.</t>
  </si>
  <si>
    <t>Integrated striker is removable and replaceable.</t>
  </si>
  <si>
    <t>Match case holds up to 25 matches.</t>
  </si>
  <si>
    <t>Convenient carabiner clip for easy transport.</t>
  </si>
  <si>
    <t>25 UCO Stormproof matches included in box with striker.</t>
  </si>
  <si>
    <t>Match case holds up to 25 stormproof matches.</t>
  </si>
  <si>
    <t>The LED flashlight uses 2 CR 2032 batteries which are included.</t>
  </si>
  <si>
    <t>Durable stainless steel construction.</t>
  </si>
  <si>
    <t>Quick 30 second setup.</t>
  </si>
  <si>
    <t>Sides of grill serve as a wind-break.</t>
  </si>
  <si>
    <t>Can be used as a Firepit.</t>
  </si>
  <si>
    <t>Stable base for safe grilling.</t>
  </si>
  <si>
    <t>The Flatpack portable grill &amp; firepit packs compact for easy transportation to the beach, campsite or barbeque.  It is Stainless steel construction for durability and easy
maintenance.  It has a quick 30 second set-up and you are ready to go.  All you need to do to set up this grill is unfold it and place the grates on top.  Has a stable base for safe grilling.  The sides of grill serve as wind break for grilling in windy conditions and it can be used as a firepit to help leave no trace when you are done.  Weight is 3.2 lbs and grilling area is 10" x 13".  Assembled height is 11".  Packed dimensions are 13.5" x 10" x 1.4"  Warranty is 1 year.</t>
  </si>
  <si>
    <t>The versatile Stormproof Torch &amp; Bottle Opener has your back in emergencies and around the camp site. Powerful triple-jet technology means you'll be ready to start a fire in challenging wet conditions. While the attached bottle opener is ready to handle your long awaited craft brew, at the top of the peak. This torch is light enough to clip on a pack yet rugged enough to withstand your journey.</t>
  </si>
  <si>
    <t>Edge X Action Cam™</t>
  </si>
  <si>
    <t>I-EDGE X</t>
  </si>
  <si>
    <t>Jewel-Case Box</t>
  </si>
  <si>
    <t>I-NOVA HD</t>
  </si>
  <si>
    <t>Nova HD Action Cam™</t>
  </si>
  <si>
    <t>I-CONNEX</t>
  </si>
  <si>
    <t>Connex Action Cam™</t>
  </si>
  <si>
    <t>Jewel Case</t>
  </si>
  <si>
    <t>I-CONNEX VGA20</t>
  </si>
  <si>
    <t>I-CONNEX VGA40</t>
  </si>
  <si>
    <t>I-CONNEX VGA100</t>
  </si>
  <si>
    <t>I-CONNEX HD100</t>
  </si>
  <si>
    <t>I-CONNEX DC CABLE</t>
  </si>
  <si>
    <t>I-CONNEX CIG CHGR</t>
  </si>
  <si>
    <t>I-CONNEX MONITOR</t>
  </si>
  <si>
    <t>I-CONNEX WC MT</t>
  </si>
  <si>
    <t>I-CONNEX TOW MT</t>
  </si>
  <si>
    <t>Waterproof Connex 7" Monitor™</t>
  </si>
  <si>
    <t>Multi Bracket Weighted Camera Mount™</t>
  </si>
  <si>
    <t>Connex Auto Cigarette Charger™</t>
  </si>
  <si>
    <t>Connex Bare Wire DC Cable™</t>
  </si>
  <si>
    <t>Connex VGA Cable 40 Meters™</t>
  </si>
  <si>
    <t>Connex VGA Cable 20 Meters™</t>
  </si>
  <si>
    <t>Connex VGA Cable 100 Meters™</t>
  </si>
  <si>
    <t>Connex HD Cable 100 Meters™</t>
  </si>
  <si>
    <t>Plastic Bag</t>
  </si>
  <si>
    <t>Carded Plastic Bag</t>
  </si>
  <si>
    <t>Sport Cameras</t>
  </si>
  <si>
    <t>Marine Grade Cameras</t>
  </si>
  <si>
    <t>Live View System</t>
  </si>
  <si>
    <t>I-DUO-POP</t>
  </si>
  <si>
    <t>Duo Sport Action Cam POP™</t>
  </si>
  <si>
    <t>POP</t>
  </si>
  <si>
    <t>I-SS01</t>
  </si>
  <si>
    <t>I-SS04</t>
  </si>
  <si>
    <t>This assortment features the following cameras: 2 Black, 2 Orange, 1 Aqua, and 1 White</t>
  </si>
  <si>
    <t>SS01 Action Cam™</t>
  </si>
  <si>
    <t>SS04 Action Cam™</t>
  </si>
  <si>
    <t>Plastic Blister Pack</t>
  </si>
  <si>
    <t>Memory</t>
  </si>
  <si>
    <t>I-SD8G</t>
  </si>
  <si>
    <t>I-SD16G</t>
  </si>
  <si>
    <t>I-SD32G</t>
  </si>
  <si>
    <t>Micro SD Card 8GB</t>
  </si>
  <si>
    <t>Micro SD Card 16GB</t>
  </si>
  <si>
    <t>Micro SD Card 32GB</t>
  </si>
  <si>
    <t>Carded Blister Pack</t>
  </si>
  <si>
    <t>I-AVL</t>
  </si>
  <si>
    <t>I-TTN1</t>
  </si>
  <si>
    <t>I-PX-21</t>
  </si>
  <si>
    <t>I-18650BAT</t>
  </si>
  <si>
    <t>I-18650CHRGR</t>
  </si>
  <si>
    <t>I-PXX</t>
  </si>
  <si>
    <t>Action Video Light™</t>
  </si>
  <si>
    <t>Teranova™</t>
  </si>
  <si>
    <t>PX-21 Compact Slave Flash</t>
  </si>
  <si>
    <t>18650 Li-Ion Battery</t>
  </si>
  <si>
    <t>18650 Li-Ion Battery Charger &amp; Battery</t>
  </si>
  <si>
    <t>Ballistic Nylon Carry Case in a Box</t>
  </si>
  <si>
    <t>12 CREE LEDs utilize a proprietary reflector and
PCB technology to ensure tremendous brightness
and long burn times.</t>
  </si>
  <si>
    <t>Xtreme Power-Light Flood model is constructed of anodized aluminum and is waterproof till a depth of up to 400'.</t>
  </si>
  <si>
    <t>3-position switch allows you to toggle between full power, 30%, and emergency strobe modes.</t>
  </si>
  <si>
    <t>Sweetfire Strikeable Fire Starter</t>
  </si>
  <si>
    <t>Made from sugarcane waste — Bagasse is a
fibrous sugarcane by-product, used around the
world as a renewable biofuel.</t>
  </si>
  <si>
    <t>20 individual ‘Points’ conveniently connected &amp;
ready to break-off and use.</t>
  </si>
  <si>
    <t>Each Point burns for 7 minutes each.</t>
  </si>
  <si>
    <t>Strikable tip, can be used with striker on box,
eliminating need for matches.</t>
  </si>
  <si>
    <t>Impregnated with vegetable wax, UCO Sweetfire
is good for the planet &amp; great for every adventure</t>
  </si>
  <si>
    <t>Upcoming Products</t>
  </si>
  <si>
    <t>Torches</t>
  </si>
  <si>
    <t>ML-SITKA</t>
  </si>
  <si>
    <t>ML-SITKA-LI</t>
  </si>
  <si>
    <t>ML-MADRONA-LI</t>
  </si>
  <si>
    <t>ML-RHODY</t>
  </si>
  <si>
    <t>ML-RHODY-LI</t>
  </si>
  <si>
    <t>Sitka</t>
  </si>
  <si>
    <t>Rhody</t>
  </si>
  <si>
    <t>054269002213</t>
  </si>
  <si>
    <t>10054269002210</t>
  </si>
  <si>
    <t>Flatpack Portable Grill &amp; FirePit - Mini</t>
  </si>
  <si>
    <t>Collaborations</t>
  </si>
  <si>
    <t>7391846017554</t>
  </si>
  <si>
    <t>7391846017578</t>
  </si>
  <si>
    <t>7391846017592</t>
  </si>
  <si>
    <t>7391846017615</t>
  </si>
  <si>
    <t>7391846017639</t>
  </si>
  <si>
    <t>7391846018094</t>
  </si>
  <si>
    <t>7391846017974</t>
  </si>
  <si>
    <t>7391846017776</t>
  </si>
  <si>
    <t>7391846017790</t>
  </si>
  <si>
    <t>7391846017813</t>
  </si>
  <si>
    <t>7391846017837</t>
  </si>
  <si>
    <t>7391846018124</t>
  </si>
  <si>
    <t>GR-MFPG</t>
  </si>
  <si>
    <t>MT-SFP</t>
  </si>
  <si>
    <t>Peggabel Box</t>
  </si>
  <si>
    <t xml:space="preserve">The Hyak Lantern + Flashlight is a highly water resistant, collapsible lantern and flashlight that features some truly unique mounting options. The integrated shock cord makes mounting to tent poles, branches and guy lines simple, but there's also a can and bottle mount system that allows you to secure your Hyak to the top of your favorite beverage (hopefully after you've already enjoyed it). The super bright LED powers up to 175 lumens and the Hyak can be used in four modes: High, Medium, Low or Strobe. The Hyak runs on 4 AA batteries (not included). </t>
  </si>
  <si>
    <t xml:space="preserve">The Sweetfire Strikeable Fire Starter is not only sweet for your gear collection, it's sweet for the planet. Made from a sugarcane by-product called bagasse, this key ingredient is already used around the world as a renewable biofuel. Each of these match points (there are 20 per box) is infused with vegetable wax to allow for up to 7 minutes of burn time per each point. There's also no need to bring matches to light the Sweetfire as each match point has a strikeable tip that can conveniently be used with the striker on the box. </t>
  </si>
  <si>
    <t>Style meets function when Seattle-born UCO &amp; Coal Headwear team up. The NightCap Knit features a removable headlamp that fits securely into the cross-branded conversion patch. A Comfort-Fit hinge allows the light to be directed down without causing the beanie to flop. The headlamp uses a dial adjustment, and runs on 2 CR-2032 batteries (included).</t>
  </si>
  <si>
    <t>Style meets function when Seattle-born UCO &amp; Coal Headwear team up. The NightCap Bucket features a removable headlamp that fits securely into the cross-branded conversion patch. A Comfort-Fit hinge allows the light to be directed down without causing the bucket hat to flop. A front grommet allows the lip to be flipped up or worn in classic ‘bucket’ fashion.  The headlamp uses a dial adjustment, and runs on 2 CR-2032 batteries (included).</t>
  </si>
  <si>
    <t>The Sitka Lantern is elevating outdoor lighting into the future. The Sitka Lantern features an integrated extension arm that elevates the light source from 12.5” to 26”, and allows for up to 4 times as much usable light while reducing LED eye-glare. The simple adjustment infinity dial allows for fine tuning of light up to 500 lumens, and features a real wood inlay. The Sitka features a USB power output, and runs on 6 D-Cell batteries (not included).</t>
  </si>
  <si>
    <t>Madrona+</t>
  </si>
  <si>
    <t>Sitka+</t>
  </si>
  <si>
    <t>Rhody+</t>
  </si>
  <si>
    <t xml:space="preserve">The Rhody Hang-Out Lantern is a compact, versatile lantern that can be hung virtually anywhere. With a magnetic lanyard hanging system, the Rhody can easily be attached to any tent poles, guy lines or tree branches. The Infinity Dial, with a real wood inlay, allows for fine tuning of light up to 130 lumens. To enter into Moonlight mode, simply turn the dial counterclockwise to emit the soft, blue light. The Rhody is powered by 3 AA batteries (not included). </t>
  </si>
  <si>
    <t>The Rhody Hang-Out Lantern is a compact, versatile lantern that can be hung virtually anywhere. With a magnetic lanyard hanging system, the Rhody can easily be attached to any tent poles, guy lines or tree branches. The Infinity Dial, with a real wood inlay, allows for fine tuning of light up to 130 lumens. To enter into Moonlight mode, simply turn the dial counterclockwise to emit the soft, blue light. The Rhody is powered by 3 AA batteries (not included).</t>
  </si>
  <si>
    <t>The Rhody+ Hang-Out Lantern is a compact, versatile lantern that can be hung virtually anywhere. With a magnetic lanyard hanging system, the Rhody+ can easily be attached to any tent poles, guy lines or tree branches. The Infinity Dial, with a real wood inlay, allows for fine tuning of light up to 130 lumens. To enter into Moonlight mode, simply turn the dial counterclockwise to emit the soft, blue light. The Rhody+ runs on a rechargeable Lithium-Ion battery, and features a USB output.</t>
  </si>
  <si>
    <t>'Keep it 100' with the stylish Hundred Headlamp. With 5 different stylized designs and real wood on the headlamp inlay, this headlamp looks good and feels good. The hingeless design to the lens articulation reduces weight imbalance to allow an even more comfortable fit as the battery pack will not slide. The Hundred is powered by 3 AAA batteries (included) and uses a simple button operation to cycle between High, Medium and Low beams up to 100 lumens.</t>
  </si>
  <si>
    <t>The Firefly Match Case &amp; Flashlight features 3 essentials in one useful tool.  The Firefly is a LED flashlight, a match container, and a bottle opener all-in-one.  The match case within the Firefly is waterproof and holds up to 25 matches, which can be used with the replaceable striker on the exterior. A Convenient carabiner clip also spouts a useful bottle opener at its base. The LED flashlight is button operated, and runs on 2 included CR-2032 batteries. The Firefly also includes a box of 25 UCO Stormproof Matches and 2 additional strikers.</t>
  </si>
  <si>
    <t>The Firefly Match Case &amp; Flashlight features 3 essentials in one useful tool.  The Firefly is a LED flashlight, a match container, and a bottle opener all-in-one.  The match case within the Firefly is waterproof and holds any matches up to 2.75" in length, which can be used with the replaceable striker on the exterior. A Convenient carabiner clip also spouts a useful bottle opener at its base. The LED flashlight is button operated, and runs on 2 included CR-2032 batteries. Matches are not included.</t>
  </si>
  <si>
    <t>Colormix</t>
  </si>
  <si>
    <t>Eldris</t>
  </si>
  <si>
    <t>Eldris Neck Knife</t>
  </si>
  <si>
    <t>M-12717</t>
  </si>
  <si>
    <t>Black, Gold</t>
  </si>
  <si>
    <t>Companion 125th Anniversary Edition</t>
  </si>
  <si>
    <t>M-12683</t>
  </si>
  <si>
    <t>Classic 125th Anniversary Edition</t>
  </si>
  <si>
    <t>7391846017707</t>
  </si>
  <si>
    <t>M-12647</t>
  </si>
  <si>
    <t>M-12648</t>
  </si>
  <si>
    <t>M-12649</t>
  </si>
  <si>
    <t>M-12650</t>
  </si>
  <si>
    <t>M-12651</t>
  </si>
  <si>
    <t>M-12770</t>
  </si>
  <si>
    <t>M-12629</t>
  </si>
  <si>
    <t>M-12630</t>
  </si>
  <si>
    <t>M-12631</t>
  </si>
  <si>
    <t>M-12632</t>
  </si>
  <si>
    <t>M-12633</t>
  </si>
  <si>
    <t>M-12670</t>
  </si>
  <si>
    <t>Carving Kit</t>
  </si>
  <si>
    <t>NightCap Bucket w/Headlamp Large</t>
  </si>
  <si>
    <t>NightCap Bucket w/Headlamp Medium</t>
  </si>
  <si>
    <t>NightCap Knit w/Headlamp</t>
  </si>
  <si>
    <t>HL-NC-K</t>
  </si>
  <si>
    <t>HL-NC-B</t>
  </si>
  <si>
    <t>054269002343</t>
  </si>
  <si>
    <t>054269002350</t>
  </si>
  <si>
    <t>054269002404</t>
  </si>
  <si>
    <t>S-P-BPCK</t>
  </si>
  <si>
    <t xml:space="preserve">The Madrona+ Hang-Out lantern has a Magnetic lanyard hanging system that allows for quick attachment and removal. Place the lantern on its base for traditional use, or elevate from lanyard and hang from tent, tree or other object.  Three super bright CREE LED’s provde output of up to 250 lumens to light up your campsite. The Infinity Dial allows fine tuning of light output from low to high. This model runs on a 6400mAh Li-Ion battery that is rechargeable, and features an output as well. Blue LED mode. Dimensions: 9.5" x 3.75" x 3.75" (24 cm x 9.5 cm x 9.5 cm)  Weight 14.6 oz. (413 g).  </t>
  </si>
  <si>
    <t>I-DUB</t>
  </si>
  <si>
    <t>DUB Action Cam™</t>
  </si>
  <si>
    <t>9007.91.8000</t>
  </si>
  <si>
    <t>8525.80.4000</t>
  </si>
  <si>
    <t>8525.50.3035</t>
  </si>
  <si>
    <t>9033.00.2000</t>
  </si>
  <si>
    <t>8523.51.0000</t>
  </si>
  <si>
    <t>I-SD64G</t>
  </si>
  <si>
    <t>Micro SD Card 64GB</t>
  </si>
  <si>
    <t>Lighting Accessories</t>
  </si>
  <si>
    <t>I-F02</t>
  </si>
  <si>
    <t>Fiber Optic Cable for X2™/HD2™</t>
  </si>
  <si>
    <t>I-BTD</t>
  </si>
  <si>
    <t>Base Tray Double Handle</t>
  </si>
  <si>
    <t>855712000318</t>
  </si>
  <si>
    <t>I-SP-HOLDER</t>
  </si>
  <si>
    <t>Smartphone Bracket for Video Light</t>
  </si>
  <si>
    <t>814002012042</t>
  </si>
  <si>
    <t>I-FA18</t>
  </si>
  <si>
    <t>Flex Arm 18cm</t>
  </si>
  <si>
    <t>None</t>
  </si>
  <si>
    <t>I-FA30</t>
  </si>
  <si>
    <t>Flex Arm 30cm</t>
  </si>
  <si>
    <t>I-SSFL</t>
  </si>
  <si>
    <t>Stayslim w/ Flex Arm</t>
  </si>
  <si>
    <t>I-SSMR</t>
  </si>
  <si>
    <t>Stay Slim Extra Arm</t>
  </si>
  <si>
    <t>Accessories</t>
  </si>
  <si>
    <t>I-AHMT-A</t>
  </si>
  <si>
    <t>Adhesive Helmet Mount</t>
  </si>
  <si>
    <t>Plastic Bag with Header Card</t>
  </si>
  <si>
    <t>I-HEL-MT2N</t>
  </si>
  <si>
    <t>Helmet Mount 2N</t>
  </si>
  <si>
    <t>I-HEL-MT3</t>
  </si>
  <si>
    <t>Helmet Mount 3</t>
  </si>
  <si>
    <t>I-ADMT-B</t>
  </si>
  <si>
    <t>Adhesive Mount</t>
  </si>
  <si>
    <t>I-FMMT</t>
  </si>
  <si>
    <t>Facemask Mount</t>
  </si>
  <si>
    <t>I-SP-PM</t>
  </si>
  <si>
    <t>Surf Board FCS Plug Mount</t>
  </si>
  <si>
    <t>I-SBM-A</t>
  </si>
  <si>
    <t>Surf Board Mount</t>
  </si>
  <si>
    <t>I-BBMT</t>
  </si>
  <si>
    <t>Body Board Mount</t>
  </si>
  <si>
    <t>I-CS-A</t>
  </si>
  <si>
    <t>Chest Strap</t>
  </si>
  <si>
    <t>I-RBMT</t>
  </si>
  <si>
    <t>Roll Bar Mount</t>
  </si>
  <si>
    <t>2.5-3.5</t>
  </si>
  <si>
    <t>I-FADM-S</t>
  </si>
  <si>
    <t>Flexible Adhesive Deck Mount - Short</t>
  </si>
  <si>
    <t>I-FADM-L</t>
  </si>
  <si>
    <t>Flexible Adhesive Deck Mount - Long</t>
  </si>
  <si>
    <t>I-SCM</t>
  </si>
  <si>
    <t>Suction Cup Mount</t>
  </si>
  <si>
    <t>I-HBM</t>
  </si>
  <si>
    <t>Bar-Pole Mount</t>
  </si>
  <si>
    <t>I-SGM</t>
  </si>
  <si>
    <t>Spear Gun Mount</t>
  </si>
  <si>
    <t>I-OSM</t>
  </si>
  <si>
    <t>Over the Shoulder Mount</t>
  </si>
  <si>
    <t>I-SP1FA</t>
  </si>
  <si>
    <t>Mini Flex Arm for SP1</t>
  </si>
  <si>
    <t>I-INTPOD</t>
  </si>
  <si>
    <t>Intova Pod</t>
  </si>
  <si>
    <t>I-SP1BT</t>
  </si>
  <si>
    <t>Sport HD Base Tray</t>
  </si>
  <si>
    <t>I-CUC</t>
  </si>
  <si>
    <t>Camera U Connector</t>
  </si>
  <si>
    <t>I-GMA-A</t>
  </si>
  <si>
    <t>GoPro Mount Adapter</t>
  </si>
  <si>
    <t>I-TMA-A</t>
  </si>
  <si>
    <t>Tripod Mount Adapter</t>
  </si>
  <si>
    <t>I-TTM</t>
  </si>
  <si>
    <t>Tripod to Tripod Mount</t>
  </si>
  <si>
    <t>I-CHS</t>
  </si>
  <si>
    <t>Camera Hand Strap</t>
  </si>
  <si>
    <t>I-FMG01</t>
  </si>
  <si>
    <t>Flating Multi Grip</t>
  </si>
  <si>
    <t>I-EXT-COM</t>
  </si>
  <si>
    <t xml:space="preserve">Compact Extension Pole </t>
  </si>
  <si>
    <t>10.7 to 32"</t>
  </si>
  <si>
    <t>I-EXT-P-O1A</t>
  </si>
  <si>
    <t>Extension Pole</t>
  </si>
  <si>
    <t>20.5 to 63"</t>
  </si>
  <si>
    <t>I-USB-CH</t>
  </si>
  <si>
    <t>Universal USB Charger &amp; AC Adapter</t>
  </si>
  <si>
    <t>I-CCK</t>
  </si>
  <si>
    <t>Camera Care Kit</t>
  </si>
  <si>
    <t>I-LS1</t>
  </si>
  <si>
    <t>Leak-Sorb</t>
  </si>
  <si>
    <t>I-SSTKR</t>
  </si>
  <si>
    <t>Silica Sticker 5 Pack</t>
  </si>
  <si>
    <t>I-IGRS-2T</t>
  </si>
  <si>
    <t>Silicone Grease</t>
  </si>
  <si>
    <t>I-WBWB</t>
  </si>
  <si>
    <t>White Balance Wristband</t>
  </si>
  <si>
    <t>I-ORT</t>
  </si>
  <si>
    <t>O-Ring Tool</t>
  </si>
  <si>
    <t>I-SP1-CB</t>
  </si>
  <si>
    <t>Sport HD Camera Bag</t>
  </si>
  <si>
    <t>I-SB19</t>
  </si>
  <si>
    <t>Snap Sights Mini Neoprene Bag</t>
  </si>
  <si>
    <t>Carded</t>
  </si>
  <si>
    <t>I-SB21</t>
  </si>
  <si>
    <t>Snap Sights Compact Neoprene Pouch</t>
  </si>
  <si>
    <t>I-SB22</t>
  </si>
  <si>
    <t>Snap Sights Small Neoprene Bag</t>
  </si>
  <si>
    <t>I-SB32</t>
  </si>
  <si>
    <t>Snap Sights Camera Cache</t>
  </si>
  <si>
    <t>Accessories for Legacy Cameras</t>
  </si>
  <si>
    <t>I-PX25</t>
  </si>
  <si>
    <t>Fiber Optic Cable (For ISS 2000)</t>
  </si>
  <si>
    <t>Edge X Fiber Optic Cable</t>
  </si>
  <si>
    <t>I-SP-HDE-BAT</t>
  </si>
  <si>
    <t>Sport HD Edge Battery</t>
  </si>
  <si>
    <t>I-IFRED-52</t>
  </si>
  <si>
    <t>Red Underwater Color Correction Filter</t>
  </si>
  <si>
    <t>I-SPUV</t>
  </si>
  <si>
    <t>UV Filter for SP1</t>
  </si>
  <si>
    <t>I-SP1-CUL</t>
  </si>
  <si>
    <t>Macro/Close-Up Lens for Sport Cameras</t>
  </si>
  <si>
    <t>I-IFRED-M67D</t>
  </si>
  <si>
    <t>Red Filter for SP1-CUL Sport HD Close Up Lens</t>
  </si>
  <si>
    <t>I-IFMAG-SP1</t>
  </si>
  <si>
    <t>Magenta Filter for Sport Pro Cameras</t>
  </si>
  <si>
    <t>I-SPND2</t>
  </si>
  <si>
    <t>Neutral Density Filter for Sport Pro Cameras</t>
  </si>
  <si>
    <t>I-IFRED-SP1</t>
  </si>
  <si>
    <t>Red Filter for Sport Pro Cameras</t>
  </si>
  <si>
    <t>Displays</t>
  </si>
  <si>
    <t>I-CAM DISPLAY</t>
  </si>
  <si>
    <t>Camera Display</t>
  </si>
  <si>
    <t>I-CAM DISPLAY 2</t>
  </si>
  <si>
    <t>Camera Display 2</t>
  </si>
  <si>
    <t>I-SSCS</t>
  </si>
  <si>
    <t>Clip Strip</t>
  </si>
  <si>
    <t>I-FD</t>
  </si>
  <si>
    <t>Floor Display with Video Monitor</t>
  </si>
  <si>
    <t>The long-awaited Garberg packs a heavy-duty 3.2mm thick 14C28N Sandvik Steel blade and is purposefully designed for bushcraft. This new full-tang model has been highly anticipated by knife fans around the world. With bushcraft in mind, Mora made both the pommel and the blade spine, fire-steel ready. The Garberg comes equipped with a leather sheath for carrying.</t>
  </si>
  <si>
    <t>Full-tang knife with a 3.8 mm thick stainless steel blade that stays sharp for a long time; Blade has a semi-matte finish.</t>
  </si>
  <si>
    <t>The 90° spine of the blade has been ground especially for use with a fire starter (sold separately).</t>
  </si>
  <si>
    <t>Scandi grind makes it easy to keep sharp.</t>
  </si>
  <si>
    <t>Symmetrical handle keeps the knife steady and comfortable in hand and allows use of the knife upside down.</t>
  </si>
  <si>
    <t>Hole in handle for fastening a lanyard or other gadget.</t>
  </si>
  <si>
    <t>The long-awaited Garberg packs a heavy-duty 3.2mm thick 14C28N Sandvik Steel blade and is purposefully designed for bushcraft. This new full-tang model has been highly anticipated by knife fans around the world. With bushcraft in mind, Mora made both the pommel and the blade spine, fire-steel ready. The Garberg comes with a multi-mount system to allow for easy attachment. The handle has a build-in click lock between the sheath and handle to prevent the knife from sliding out of the sheath.</t>
  </si>
  <si>
    <t>Handle with built-in click lock between sheath and handle prevents knife from falling out of sheath.</t>
  </si>
  <si>
    <t>M-12634</t>
  </si>
  <si>
    <t>M-12645</t>
  </si>
  <si>
    <t>Garberg  with Leather Sheath</t>
  </si>
  <si>
    <t>Garberg  with Multi-Mode Sheath</t>
  </si>
  <si>
    <t>Kansbol with Plastic Sheath</t>
  </si>
  <si>
    <t>Kansbol with Multi-Mount</t>
  </si>
  <si>
    <t>7391846017516</t>
  </si>
  <si>
    <t>7391846017530</t>
  </si>
  <si>
    <t>2 mm thick stainless steel blade stays sharp for a long time; Blade has a semi-matte finish.</t>
  </si>
  <si>
    <t>Morakniv Eldris is a pocket size fixed blade knife that will amaze you with its versatility. The knife has a precision blade and ground spine compatible with a fire starter. It’s compact design and all round convenience mean you’ll never leave the house without it, making your Morakniv a part of you. </t>
  </si>
  <si>
    <t>Morakniv Eldris is a pocket size fixed blade knife that will amaze you with its versatility. The knife has a precision blade and ground spine compatible with a fire starter, and the kit comes equipped with a firestarter as well as a multi-purpose paracord. It’s compact design and all-around convenience mean you’ll never leave the house without it, making your Morakniv a part of you.</t>
  </si>
  <si>
    <t>The neck-knife kit enables you to hang it around your neck with the multi-purpose paracord. There's also a secondary lock to make carry even safer. The minimalist fire starter is perfect for starting a warming fire or lighting a camping stove.</t>
  </si>
  <si>
    <t>The 90° spine of the blade has been ground for use with the included fire starter.</t>
  </si>
  <si>
    <t>Knife with a 2.5 mm thick stainless steel blade that stays sharp for a long time; Blade has a semi-matte finish.</t>
  </si>
  <si>
    <t>Comes with a multi-mount system that can mount to most any bag or strap.</t>
  </si>
  <si>
    <t>Handle with built-in click lock between sheath and handle prevents knife from falling out of sheath</t>
  </si>
  <si>
    <t>This Carving Kit includes your own carving knife and a wooden dala horse material. The kit is put together especially for your and your loved ones to discover the beauty of woodcarving.</t>
  </si>
  <si>
    <t>This kit includes the Morakniv 120 Knife with a 2.7 mm laminated carbon steel blade.</t>
  </si>
  <si>
    <t>There is a bandage included in case you cut your finger.</t>
  </si>
  <si>
    <t>This comes as a Gift Box, and is great for the holidays.</t>
  </si>
  <si>
    <t>The kit includes a Wooden Dala horse ready for carving.</t>
  </si>
  <si>
    <t>COSMIC</t>
  </si>
  <si>
    <t>NORTHERN</t>
  </si>
  <si>
    <t>HAWAIIAN</t>
  </si>
  <si>
    <t>1.0/8.0</t>
  </si>
  <si>
    <t>1080p, 30fps HD Video, 8MP still photo resolution</t>
  </si>
  <si>
    <t>Waterproof to 200' (60m)</t>
  </si>
  <si>
    <t>Built in 1.5: LCD screen</t>
  </si>
  <si>
    <t>The DUB Action Cam is a fun, new addition to Intova's historic line of high quality, waterproof action cameras. Capture incredible footage of your most epic and memorable activities with 1080p video resolution and a 8MP sensor. The compact, rugged housing is waterproof to 200 feet (60m). The built in rechargeable Li-ion battery provides up to 2 hours of battery life. MicroSD compatible up to 32GB (not included).</t>
  </si>
  <si>
    <t>Integrated extension arm elevates the light source from 12.5" to 26" (32 to 66cm).</t>
  </si>
  <si>
    <t>Increases usable light, reduces shadows &amp; eliminates LED eye-glare.</t>
  </si>
  <si>
    <t>USB Power Output.</t>
  </si>
  <si>
    <t>Norther Lights Mode (red, green and blue LED)</t>
  </si>
  <si>
    <t>Runs on 6 D cell batteries (not included).</t>
  </si>
  <si>
    <t>Runs on a rechargeable 6400mAh Li-ion battery.</t>
  </si>
  <si>
    <t>3 super bright LED's output up to 300 lumens.</t>
  </si>
  <si>
    <t>Moonlight (Blue LED) mode.</t>
  </si>
  <si>
    <t>Runs on 3 AA batteries (not included).</t>
  </si>
  <si>
    <t>Runs on a rechargeable 4400 mAh Li-ion battery.</t>
  </si>
  <si>
    <t>Style meets function when UCO intergrates our healdamps into Coal Headwear hats.</t>
  </si>
  <si>
    <t>Flexible Comfort-Fit hinge conforms to the hat and head.</t>
  </si>
  <si>
    <t>Cross-branded conversion patch securely holds headlamp.</t>
  </si>
  <si>
    <t xml:space="preserve">Removable headlamp assembly. </t>
  </si>
  <si>
    <t>Stylish, slouched beanie made of stitched acrylic.</t>
  </si>
  <si>
    <t>Ripstop cotton "bucket hat" design can be flipped up or worn down. Features an adjustable chin strap</t>
  </si>
  <si>
    <t>M-12872</t>
  </si>
  <si>
    <t>Kansbol Pinpack</t>
  </si>
  <si>
    <t>M-12551</t>
  </si>
  <si>
    <t>M-12862</t>
  </si>
  <si>
    <t>M-12863</t>
  </si>
  <si>
    <t>M-12865</t>
  </si>
  <si>
    <t>M-12866</t>
  </si>
  <si>
    <t>M-12867</t>
  </si>
  <si>
    <t>M-12868</t>
  </si>
  <si>
    <t>M-12869</t>
  </si>
  <si>
    <t>M-12870</t>
  </si>
  <si>
    <t>M-12864</t>
  </si>
  <si>
    <t>Eldris Knife Kit Pinpack</t>
  </si>
  <si>
    <t xml:space="preserve">Red </t>
  </si>
  <si>
    <t>7391846018650</t>
  </si>
  <si>
    <t>Eldris Knife Pinpack</t>
  </si>
  <si>
    <t>Morakniv Kansbol is the ultimate all-round knife. While in the woods, on a hike, hunting or at sea, it's the perfect partner. The knife is designed and made in Mora, Sweden, where we specially treat the Swedish stainless steel to enhance strength and long-lasting sharpness. The blade is profile shaped for added precision and the spine is ground so that it can be used with a fire starter. Combined with a firm, secure grip and superb feel this means that you'll never want to be without it, making your Morakniv a part of you.</t>
  </si>
  <si>
    <t>S-CB</t>
  </si>
  <si>
    <t>Spring 2017</t>
  </si>
  <si>
    <t>M-12816</t>
  </si>
  <si>
    <t>M-12817</t>
  </si>
  <si>
    <t>M-12818</t>
  </si>
  <si>
    <t>M-12819</t>
  </si>
  <si>
    <t>M-12820</t>
  </si>
  <si>
    <t>M-12821</t>
  </si>
  <si>
    <t>Woodcarving Hook No. 162S</t>
  </si>
  <si>
    <t>Woodcarving Hook No. 163S</t>
  </si>
  <si>
    <t>Woodcarving Hook No. 164S</t>
  </si>
  <si>
    <t>7391846018445</t>
  </si>
  <si>
    <t>7391846018452</t>
  </si>
  <si>
    <t>7391846018469</t>
  </si>
  <si>
    <t>7391846018476</t>
  </si>
  <si>
    <t>7391846018483</t>
  </si>
  <si>
    <t>7391846018490</t>
  </si>
  <si>
    <t>The Mini Flatpack portable grill &amp; firepit serves 2-3 people and packs compact for easy transportation to the beach, campsite or barbeque.  It is Stainless steel construction for durability and easy maintenance.  It has a quick 30 second set-up and you are ready to go.  All you need to do to set up this grill is unfold it and place the grates on top.  Has a stable base for safe grilling.  The sides of grill serve as wind break for grilling in windy conditions and it can be used as a firepit to help leave no trace when you are done.  Dishwasher safe. Weight is 2 lbs and grilling area is 9" x 6.75".  Packed dimensions are 9.5" x 8" x 1.5"  Warranty is 1 year.</t>
  </si>
  <si>
    <t>Cutting Board and Collander - Lime</t>
  </si>
  <si>
    <t>Cutting Board and Collander - Fuschia</t>
  </si>
  <si>
    <t>Cutting Board and Collander - Cyan</t>
  </si>
  <si>
    <t>Cutting Board and Collander - Green</t>
  </si>
  <si>
    <t>Cutting Board and Collander - Grey</t>
  </si>
  <si>
    <t>Use as a strainer</t>
  </si>
  <si>
    <t>Use as a compact cuttingboard</t>
  </si>
  <si>
    <t>Fits inside a Mealkit or LunchKit</t>
  </si>
  <si>
    <t>BPA-free polypropylene</t>
  </si>
  <si>
    <t>Easy to clean</t>
  </si>
  <si>
    <t>The Cuttingboard plus is a combination cutting board and strainer that allows you to strain your food and safely chop vegetables, meat, and fish. Fits inside a Mealkit or LunchKit.  Stain and odor resistant.  Microwave and Dishwasher Safe.  Floats.  BPA-free Polypropylene construction.  Made in Sweden.  Size 6.3 x 5.9 x .16" (150mm x 160mm x 4mm) and weighs 1.6 oz (45g) 1 year warranty.</t>
  </si>
  <si>
    <t>Made with Sandvik 12C27 Stainless Steel</t>
  </si>
  <si>
    <t>Hook knife for spoon carving. Single-edged. Sandvik 12C27 Stainless Steel blade. Oiled birchwood handle. Blade length 52 mm. Internal radius 12 mm. Comes without a sheath.</t>
  </si>
  <si>
    <t>Hook knife for spoon carving with Sandvik 12C27 Stainless Steel Blade</t>
  </si>
  <si>
    <t>Our woodcarving knives are well known and appreciated precision tools that are used by wood carvers in Nusnäs, for example. This is where one of Sweden’s most recognized national symbols – the Dala Horse – is carved. Hook knife for spoon carving. Hook knife for spoon carving. Double-edged. Sandvik 12C27 Stainless Steel blade. Oiled birchwood handle. Blade length 61 mm.
Internal radius 12 mm.</t>
  </si>
  <si>
    <t>Our woodcarving knives are well known and appreciated precision tools that are used by wood carvers in Nusnäs, for example. This is where one of Sweden’s most recognized national symbols – the Dala Horse – is carved. Hook knife for spoon carving. Double-edged. Sandvik 12C27 Stainless Steel blade. Oiled birchwood handle. Blade length 52 mm. Internal radius 15 mm. Comes without a sheath.</t>
  </si>
  <si>
    <t>M-12658</t>
  </si>
  <si>
    <t>Woodcarving Basic Fixed Blade Knife with Stainless Steel Blade</t>
  </si>
  <si>
    <t>7391846017455</t>
  </si>
  <si>
    <t>Knife with a thin Sandvik 12C27 Stainless Steel blade</t>
  </si>
  <si>
    <t>Knife with a thin Carbons Steel blade</t>
  </si>
  <si>
    <t>Blade Thickness: 2.0mm, Blade Length: 75mm, Total Length: 192mm, Net Weight: 0.0800kg</t>
  </si>
  <si>
    <t>Our woodcarving knives are well known and appreciated precision tools that are used by wood carvers in Nusnäs, for example. This is where one of Sweden’s most recognized national symbols – the Dala Horse – is carved. Woodcarving knive with a thin blade of Sandvik 12C27 Stainless Steel. Plastic handle. Plastic sheath.</t>
  </si>
  <si>
    <t>Archive</t>
  </si>
  <si>
    <t>2 USB Power Outputs.</t>
  </si>
  <si>
    <t>Runs on a rechargeable 8800mAh Li-ion battery.</t>
  </si>
  <si>
    <t>The Sitka+ Lantern is elevating outdoor lighting into the future. The Sitka+ Lantern features an integrated extension arm that elevates the light source from 12.5” to 26”, and allows for up to 4 times as much usable light while reducing LED eye-glare. The simple adjustment infinity dial allows for fine tuning of light up to 500 lumens, and features a real wood inlay. When turned counterclockwise, the Sitka+ will enter into Northern Lights Color mode, which will cycle through the ROYGBIV colors for a lively glow. The Sitka+ features two USB power outputs, and runs on a rechargeable 8800mAh Lithium-Ion battery.</t>
  </si>
  <si>
    <t>M-12884</t>
  </si>
  <si>
    <t>M-12771</t>
  </si>
  <si>
    <t>E-CS985ST</t>
  </si>
  <si>
    <t>CS985ST Stainless Steel Stove &amp; Trekking Cookset</t>
  </si>
  <si>
    <t>4260149871350</t>
  </si>
  <si>
    <t xml:space="preserve">Constructed from high-quality stainless steel. </t>
  </si>
  <si>
    <t>Dimensions-packed: 5.8" x 5.0" (14.7 cm x 12.8 cm); Weight: 18.7 oz. (530 g)</t>
  </si>
  <si>
    <t>This lightweight, self-contained complete cooking system is constructed from high-quality stainless steel and works with solid fuel. The stove is great for heating water or food on the trail, such as a quick cup of coffee, tea, or soup. It includes a windshield type stove and a pot with lid. The stove fits in the pot, which has folding handles and a small pour spout, making it space and weight efficient for hiking and backpacking. The durable 585 ml pot has graduations in both ounces and milliliters that you read from the inside when pouring in the liquid. The pot's folding handles have silicone grips for protection from heat and it all fits in the included mesh stuff sack.</t>
  </si>
  <si>
    <t>M-12888</t>
  </si>
  <si>
    <t>Eldris Accessory Kit</t>
  </si>
  <si>
    <t>M-12287</t>
  </si>
  <si>
    <t>Orange birchwood handle.</t>
  </si>
  <si>
    <t>Assortment</t>
  </si>
  <si>
    <t>Color assortment includes red, green, and black.</t>
  </si>
  <si>
    <t>M-12798</t>
  </si>
  <si>
    <t>Utility Knife</t>
  </si>
  <si>
    <t>7391846018599</t>
  </si>
  <si>
    <t>NEW</t>
  </si>
  <si>
    <t>M-12991</t>
  </si>
  <si>
    <t>Rookie Knife</t>
  </si>
  <si>
    <t>The Rookie has an even more rounded safety tip, and features a finger guard.</t>
  </si>
  <si>
    <t>Wooden Handle.</t>
  </si>
  <si>
    <t>Wooden Handle</t>
  </si>
  <si>
    <t xml:space="preserve">Black polymer sheath keeps knife in place. </t>
  </si>
  <si>
    <t>The small, spindle handle is a good size for children's woodcarving.</t>
  </si>
  <si>
    <t>The Rookie knife is a new sibling to the popular Morakniv Scout knives. This new model has an even more rounded safety tip to increase the safety even further. Together with the finger guard – that prevents the fingers from slipping onto the blade – the Rookie is a suitable entry knife for children’s woodcarving. The small, spindle shaped handle is a good size for children’s hands and the natural wood is extra nice to hold and work with. A black polymer sheath keeps both the knife and its user safe when the knife’s not in use.</t>
  </si>
  <si>
    <t>Red plastic sheath with belt clip.</t>
  </si>
  <si>
    <t>M-1-0144</t>
  </si>
  <si>
    <t>Sticking Knife 144 PSG</t>
  </si>
  <si>
    <t>MT-SF8P</t>
  </si>
  <si>
    <t>Sweetfire Strikeable Fire Starter 8Pack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</si>
</sst>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_);[Red]\(&quot;$&quot;#,##0.00\)"/>
    <numFmt numFmtId="44" formatCode="_(&quot;$&quot;* #,##0.00_);_(&quot;$&quot;* \(#,##0.00\);_(&quot;$&quot;* &quot;-&quot;??_);_(@_)"/>
    <numFmt numFmtId="43" formatCode="_(* #,##0.00_);_(* \(#,##0.00\);_(* &quot;-&quot;??_);_(@_)"/>
    <numFmt numFmtId="164" formatCode="00000"/>
    <numFmt numFmtId="165" formatCode="000000000000"/>
    <numFmt numFmtId="166" formatCode="_(\$* #,##0.00_);_(\$* \(#,##0.00\);_(\$* \-??_);_(@_)"/>
    <numFmt numFmtId="167" formatCode="_-* #,##0.00\ &quot;kr&quot;_-;\-* #,##0.00\ &quot;kr&quot;_-;_-* &quot;-&quot;??\ &quot;kr&quot;_-;_-@_-"/>
    <numFmt numFmtId="168" formatCode="_(* #,##0.0_);_(* \(#,##0.0\);_(* &quot;-&quot;??_);_(@_)"/>
    <numFmt numFmtId="169" formatCode="&quot;$&quot;#,##0.00"/>
    <numFmt numFmtId="170" formatCode="m/d/yy;@"/>
    <numFmt numFmtId="172" formatCode="0.0"/>
    <numFmt numFmtId="173" formatCode="0.000"/>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2"/>
      <name val="Arial"/>
      <family val="2"/>
    </font>
    <font>
      <sz val="10"/>
      <color indexed="8"/>
      <name val="Arial"/>
      <family val="2"/>
    </font>
    <font>
      <sz val="11"/>
      <color indexed="8"/>
      <name val="Calibri"/>
      <family val="2"/>
    </font>
    <font>
      <sz val="10"/>
      <color rgb="FF00000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theme="1"/>
      <name val="Arial"/>
      <family val="2"/>
    </font>
    <font>
      <sz val="11"/>
      <color indexed="60"/>
      <name val="Calibri"/>
      <family val="2"/>
    </font>
    <font>
      <sz val="10"/>
      <name val="Arial"/>
      <family val="2"/>
      <charset val="1"/>
    </font>
    <font>
      <sz val="11"/>
      <color indexed="8"/>
      <name val="Calibri"/>
      <family val="2"/>
      <charset val="1"/>
    </font>
    <font>
      <sz val="10"/>
      <color rgb="FFFF0000"/>
      <name val="Arial"/>
      <family val="2"/>
    </font>
    <font>
      <i/>
      <sz val="10"/>
      <name val="Arial"/>
      <family val="2"/>
    </font>
    <font>
      <sz val="10"/>
      <name val="Arial"/>
      <family val="2"/>
    </font>
    <font>
      <u/>
      <sz val="11"/>
      <color theme="10"/>
      <name val="Calibri"/>
      <family val="2"/>
    </font>
    <font>
      <sz val="10"/>
      <color rgb="FF222222"/>
      <name val="Arial"/>
      <family val="2"/>
    </font>
    <font>
      <sz val="8"/>
      <name val="Arial"/>
      <family val="2"/>
    </font>
    <font>
      <sz val="10"/>
      <color rgb="FF1C1C1E"/>
      <name val="Arial"/>
      <family val="2"/>
    </font>
    <font>
      <sz val="10"/>
      <name val="Arial"/>
      <family val="2"/>
    </font>
    <font>
      <sz val="12"/>
      <name val="Arial"/>
      <family val="2"/>
    </font>
    <font>
      <b/>
      <sz val="8"/>
      <name val="Arial"/>
      <family val="2"/>
    </font>
    <font>
      <sz val="9"/>
      <color rgb="FF000000"/>
      <name val="Arial"/>
      <family val="2"/>
    </font>
    <font>
      <sz val="10"/>
      <color rgb="FF333333"/>
      <name val="Arial"/>
      <family val="2"/>
    </font>
    <font>
      <sz val="11"/>
      <name val="Arial"/>
      <family val="2"/>
    </font>
    <font>
      <sz val="10"/>
      <name val="Calibri"/>
      <family val="2"/>
    </font>
    <font>
      <b/>
      <i/>
      <sz val="10"/>
      <name val="Arial"/>
      <family val="2"/>
    </font>
    <font>
      <sz val="10"/>
      <color rgb="FF151517"/>
      <name val="Arial"/>
      <family val="2"/>
    </font>
    <font>
      <sz val="10"/>
      <color rgb="FF262626"/>
      <name val="Arial"/>
      <family val="2"/>
    </font>
    <font>
      <i/>
      <sz val="10"/>
      <color rgb="FF151517"/>
      <name val="Arial"/>
      <family val="2"/>
    </font>
    <font>
      <sz val="10"/>
      <color theme="1"/>
      <name val="Calibri"/>
      <family val="2"/>
    </font>
    <font>
      <sz val="10"/>
      <color rgb="FF221E1F"/>
      <name val="Arial"/>
      <family val="2"/>
    </font>
    <font>
      <b/>
      <i/>
      <sz val="10"/>
      <color indexed="8"/>
      <name val="Arial"/>
      <family val="2"/>
    </font>
    <font>
      <b/>
      <sz val="12"/>
      <color indexed="8"/>
      <name val="Arial"/>
      <family val="2"/>
    </font>
    <font>
      <b/>
      <sz val="12"/>
      <color rgb="FF434343"/>
      <name val="Arial"/>
      <family val="2"/>
    </font>
    <font>
      <b/>
      <sz val="12"/>
      <color rgb="FF222222"/>
      <name val="Arial"/>
      <family val="2"/>
    </font>
    <font>
      <b/>
      <i/>
      <sz val="10"/>
      <color rgb="FF222222"/>
      <name val="Arial"/>
      <family val="2"/>
    </font>
    <font>
      <b/>
      <i/>
      <sz val="10"/>
      <color theme="1"/>
      <name val="Arial"/>
      <family val="2"/>
    </font>
    <font>
      <b/>
      <sz val="10"/>
      <color rgb="FF222222"/>
      <name val="Arial"/>
      <family val="2"/>
    </font>
    <font>
      <b/>
      <sz val="10"/>
      <color rgb="FF000000"/>
      <name val="Arial"/>
      <family val="2"/>
    </font>
    <font>
      <b/>
      <sz val="9"/>
      <name val="Arial"/>
      <family val="2"/>
    </font>
    <font>
      <b/>
      <sz val="10"/>
      <color indexed="8"/>
      <name val="Arial"/>
      <family val="2"/>
    </font>
    <font>
      <i/>
      <sz val="12"/>
      <name val="Arial"/>
      <family val="2"/>
    </font>
    <font>
      <sz val="9"/>
      <color indexed="81"/>
      <name val="Tahoma"/>
      <family val="2"/>
    </font>
    <font>
      <b/>
      <sz val="9"/>
      <color indexed="81"/>
      <name val="Tahoma"/>
      <family val="2"/>
    </font>
    <font>
      <sz val="10"/>
      <color indexed="8"/>
      <name val="Calibri"/>
      <family val="2"/>
    </font>
    <font>
      <b/>
      <sz val="12"/>
      <name val="Calibri"/>
      <family val="2"/>
    </font>
    <font>
      <i/>
      <sz val="11"/>
      <name val="Arial"/>
      <family val="2"/>
    </font>
    <font>
      <sz val="10"/>
      <color rgb="FF1C1C1E"/>
      <name val="Calibri"/>
      <family val="2"/>
    </font>
    <font>
      <sz val="10"/>
      <name val="Calibri"/>
      <family val="2"/>
      <scheme val="minor"/>
    </font>
  </fonts>
  <fills count="39">
    <fill>
      <patternFill patternType="none"/>
    </fill>
    <fill>
      <patternFill patternType="gray125"/>
    </fill>
    <fill>
      <patternFill patternType="solid">
        <fgColor indexed="22"/>
        <bgColor indexed="64"/>
      </patternFill>
    </fill>
    <fill>
      <patternFill patternType="solid">
        <fgColor indexed="53"/>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
      <patternFill patternType="solid">
        <fgColor rgb="FF92D050"/>
        <bgColor indexed="64"/>
      </patternFill>
    </fill>
    <fill>
      <patternFill patternType="solid">
        <fgColor rgb="FF7030A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1" tint="0.34998626667073579"/>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s>
  <cellStyleXfs count="18176">
    <xf numFmtId="0" fontId="0" fillId="0" borderId="0"/>
    <xf numFmtId="0" fontId="15" fillId="0" borderId="0"/>
    <xf numFmtId="0" fontId="12" fillId="0" borderId="0"/>
    <xf numFmtId="0" fontId="12" fillId="0" borderId="0"/>
    <xf numFmtId="0" fontId="12" fillId="0" borderId="0"/>
    <xf numFmtId="44" fontId="1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31" fillId="15"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5" fillId="23" borderId="5" applyNumberFormat="0" applyFont="0" applyAlignment="0" applyProtection="0"/>
    <xf numFmtId="0" fontId="25" fillId="24" borderId="6" applyNumberFormat="0" applyAlignment="0" applyProtection="0"/>
    <xf numFmtId="0" fontId="21" fillId="7" borderId="0" applyNumberFormat="0" applyBorder="0" applyAlignment="0" applyProtection="0"/>
    <xf numFmtId="0" fontId="22" fillId="6"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22" borderId="0" applyNumberFormat="0" applyBorder="0" applyAlignment="0" applyProtection="0"/>
    <xf numFmtId="0" fontId="29" fillId="0" borderId="0" applyNumberFormat="0" applyFill="0" applyBorder="0" applyAlignment="0" applyProtection="0"/>
    <xf numFmtId="0" fontId="23" fillId="10" borderId="6" applyNumberFormat="0" applyAlignment="0" applyProtection="0"/>
    <xf numFmtId="0" fontId="27" fillId="25" borderId="7" applyNumberFormat="0" applyAlignment="0" applyProtection="0"/>
    <xf numFmtId="0" fontId="26" fillId="0" borderId="11"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30" fillId="0" borderId="13" applyNumberFormat="0" applyFill="0" applyAlignment="0" applyProtection="0"/>
    <xf numFmtId="0" fontId="24" fillId="24" borderId="12" applyNumberFormat="0" applyAlignment="0" applyProtection="0"/>
    <xf numFmtId="0" fontId="2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31" fillId="15"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22" borderId="0" applyNumberFormat="0" applyBorder="0" applyAlignment="0" applyProtection="0"/>
    <xf numFmtId="0" fontId="22" fillId="6" borderId="0" applyNumberFormat="0" applyBorder="0" applyAlignment="0" applyProtection="0"/>
    <xf numFmtId="0" fontId="25" fillId="24" borderId="6" applyNumberFormat="0" applyAlignment="0" applyProtection="0"/>
    <xf numFmtId="0" fontId="27" fillId="25" borderId="7" applyNumberFormat="0" applyAlignment="0" applyProtection="0"/>
    <xf numFmtId="0" fontId="29" fillId="0" borderId="0" applyNumberFormat="0" applyFill="0" applyBorder="0" applyAlignment="0" applyProtection="0"/>
    <xf numFmtId="0" fontId="21" fillId="7"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23" fillId="10" borderId="6" applyNumberFormat="0" applyAlignment="0" applyProtection="0"/>
    <xf numFmtId="0" fontId="26" fillId="0" borderId="11" applyNumberFormat="0" applyFill="0" applyAlignment="0" applyProtection="0"/>
    <xf numFmtId="0" fontId="33" fillId="26" borderId="0" applyNumberFormat="0" applyBorder="0" applyAlignment="0" applyProtection="0"/>
    <xf numFmtId="0" fontId="15" fillId="23" borderId="5" applyNumberFormat="0" applyFont="0" applyAlignment="0" applyProtection="0"/>
    <xf numFmtId="0" fontId="24" fillId="24" borderId="12" applyNumberFormat="0" applyAlignment="0" applyProtection="0"/>
    <xf numFmtId="0" fontId="17" fillId="0" borderId="0" applyNumberFormat="0" applyFill="0" applyBorder="0" applyAlignment="0" applyProtection="0"/>
    <xf numFmtId="0" fontId="30" fillId="0" borderId="13" applyNumberFormat="0" applyFill="0" applyAlignment="0" applyProtection="0"/>
    <xf numFmtId="0" fontId="28" fillId="0" borderId="0" applyNumberFormat="0" applyFill="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15" fillId="24" borderId="0" applyNumberFormat="0" applyBorder="0" applyAlignment="0" applyProtection="0"/>
    <xf numFmtId="0" fontId="15" fillId="24" borderId="0" applyNumberFormat="0" applyBorder="0" applyAlignment="0" applyProtection="0"/>
    <xf numFmtId="166" fontId="34" fillId="0" borderId="0"/>
    <xf numFmtId="0" fontId="23" fillId="24" borderId="6" applyNumberFormat="0" applyAlignment="0" applyProtection="0"/>
    <xf numFmtId="0" fontId="23" fillId="24"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4" fillId="0" borderId="0"/>
    <xf numFmtId="43" fontId="3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9" fillId="0" borderId="0" applyNumberFormat="0" applyFill="0" applyBorder="0" applyAlignment="0" applyProtection="0">
      <alignment vertical="top"/>
      <protection locked="0"/>
    </xf>
    <xf numFmtId="0" fontId="14" fillId="0" borderId="0">
      <alignment vertical="top"/>
    </xf>
    <xf numFmtId="0" fontId="3" fillId="0" borderId="0"/>
    <xf numFmtId="0" fontId="3" fillId="0" borderId="0"/>
    <xf numFmtId="0" fontId="12" fillId="0" borderId="0"/>
    <xf numFmtId="9" fontId="3" fillId="0" borderId="0" applyFont="0" applyFill="0" applyBorder="0" applyAlignment="0" applyProtection="0"/>
    <xf numFmtId="0" fontId="2" fillId="0" borderId="0"/>
    <xf numFmtId="44" fontId="2" fillId="0" borderId="0" applyFont="0" applyFill="0" applyBorder="0" applyAlignment="0" applyProtection="0"/>
    <xf numFmtId="167" fontId="12" fillId="0" borderId="0" applyFont="0" applyFill="0" applyBorder="0" applyAlignment="0" applyProtection="0"/>
    <xf numFmtId="0" fontId="2" fillId="0" borderId="0"/>
    <xf numFmtId="0" fontId="41" fillId="0" borderId="0"/>
    <xf numFmtId="43" fontId="41" fillId="0" borderId="0" applyFont="0" applyFill="0" applyBorder="0" applyAlignment="0" applyProtection="0"/>
    <xf numFmtId="44" fontId="4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cellStyleXfs>
  <cellXfs count="817">
    <xf numFmtId="0" fontId="0" fillId="0" borderId="0" xfId="0"/>
    <xf numFmtId="43" fontId="12" fillId="0" borderId="0" xfId="4613" applyFont="1" applyBorder="1" applyAlignment="1" applyProtection="1">
      <protection locked="0"/>
    </xf>
    <xf numFmtId="43" fontId="12" fillId="0" borderId="0" xfId="4613" applyFont="1"/>
    <xf numFmtId="1" fontId="12" fillId="0" borderId="0" xfId="4613" applyNumberFormat="1" applyFont="1" applyBorder="1" applyAlignment="1" applyProtection="1">
      <protection locked="0"/>
    </xf>
    <xf numFmtId="0" fontId="32" fillId="0" borderId="0" xfId="9135" applyFont="1" applyFill="1" applyBorder="1"/>
    <xf numFmtId="49" fontId="32" fillId="0" borderId="0" xfId="9135" applyNumberFormat="1" applyFont="1" applyFill="1" applyBorder="1" applyAlignment="1">
      <alignment horizontal="center" vertical="center"/>
    </xf>
    <xf numFmtId="44" fontId="12" fillId="0" borderId="0" xfId="0" applyNumberFormat="1" applyFont="1" applyBorder="1" applyAlignment="1" applyProtection="1">
      <protection locked="0"/>
    </xf>
    <xf numFmtId="44" fontId="12" fillId="0" borderId="0" xfId="0" applyNumberFormat="1" applyFont="1" applyFill="1" applyBorder="1" applyAlignment="1" applyProtection="1">
      <protection locked="0"/>
    </xf>
    <xf numFmtId="44" fontId="12" fillId="0" borderId="0" xfId="0" applyNumberFormat="1" applyFont="1"/>
    <xf numFmtId="1" fontId="12" fillId="0" borderId="0" xfId="0" applyNumberFormat="1" applyFont="1" applyFill="1" applyBorder="1" applyAlignment="1">
      <alignment horizontal="center"/>
    </xf>
    <xf numFmtId="1" fontId="12" fillId="0" borderId="0" xfId="0" quotePrefix="1" applyNumberFormat="1" applyFont="1" applyAlignment="1">
      <alignment horizontal="center" vertical="center"/>
    </xf>
    <xf numFmtId="0" fontId="12" fillId="0" borderId="0" xfId="0" applyFont="1" applyFill="1" applyBorder="1" applyAlignment="1"/>
    <xf numFmtId="0" fontId="12" fillId="0" borderId="0" xfId="0" applyFont="1" applyAlignment="1">
      <alignment horizontal="center"/>
    </xf>
    <xf numFmtId="44" fontId="12" fillId="0" borderId="0" xfId="0" applyNumberFormat="1" applyFont="1" applyFill="1" applyAlignment="1">
      <alignment vertical="top"/>
    </xf>
    <xf numFmtId="0" fontId="14" fillId="0" borderId="0" xfId="0" applyFont="1" applyFill="1"/>
    <xf numFmtId="0" fontId="12" fillId="0" borderId="0" xfId="0" applyFont="1" applyFill="1" applyBorder="1" applyAlignment="1" applyProtection="1">
      <alignment wrapText="1"/>
      <protection locked="0"/>
    </xf>
    <xf numFmtId="0" fontId="12" fillId="0" borderId="0" xfId="0" applyFont="1" applyBorder="1" applyAlignment="1" applyProtection="1">
      <protection locked="0"/>
    </xf>
    <xf numFmtId="2" fontId="12" fillId="0" borderId="0" xfId="0" applyNumberFormat="1" applyFont="1" applyBorder="1" applyAlignment="1" applyProtection="1">
      <protection locked="0"/>
    </xf>
    <xf numFmtId="49" fontId="12" fillId="0" borderId="0" xfId="0" applyNumberFormat="1" applyFont="1" applyBorder="1" applyAlignment="1" applyProtection="1">
      <protection locked="0"/>
    </xf>
    <xf numFmtId="1" fontId="12" fillId="0" borderId="0" xfId="0" applyNumberFormat="1" applyFont="1" applyBorder="1" applyAlignment="1" applyProtection="1">
      <protection locked="0"/>
    </xf>
    <xf numFmtId="0" fontId="12" fillId="0" borderId="0" xfId="0" applyFont="1" applyFill="1" applyBorder="1" applyAlignment="1" applyProtection="1">
      <protection locked="0"/>
    </xf>
    <xf numFmtId="49" fontId="12" fillId="0" borderId="0" xfId="0" applyNumberFormat="1" applyFont="1" applyFill="1"/>
    <xf numFmtId="0" fontId="12" fillId="0" borderId="0" xfId="0" applyFont="1"/>
    <xf numFmtId="0" fontId="12" fillId="0" borderId="0" xfId="0" applyFont="1" applyBorder="1" applyAlignment="1" applyProtection="1">
      <alignment wrapText="1"/>
      <protection locked="0"/>
    </xf>
    <xf numFmtId="49" fontId="12" fillId="0" borderId="0" xfId="0" applyNumberFormat="1" applyFont="1"/>
    <xf numFmtId="0" fontId="12" fillId="0" borderId="0" xfId="0" applyNumberFormat="1" applyFont="1"/>
    <xf numFmtId="49" fontId="12" fillId="0" borderId="0" xfId="0" applyNumberFormat="1" applyFont="1" applyFill="1" applyBorder="1"/>
    <xf numFmtId="49" fontId="12" fillId="0" borderId="0" xfId="0" applyNumberFormat="1" applyFont="1" applyBorder="1"/>
    <xf numFmtId="0" fontId="12" fillId="0" borderId="0" xfId="0" applyFont="1" applyBorder="1"/>
    <xf numFmtId="49" fontId="12" fillId="0" borderId="0" xfId="0" applyNumberFormat="1" applyFont="1" applyBorder="1" applyAlignment="1" applyProtection="1">
      <alignment horizontal="center"/>
      <protection locked="0"/>
    </xf>
    <xf numFmtId="49" fontId="12" fillId="0" borderId="0" xfId="0" applyNumberFormat="1" applyFont="1" applyFill="1" applyAlignment="1">
      <alignment horizontal="center"/>
    </xf>
    <xf numFmtId="49" fontId="12" fillId="0" borderId="0" xfId="0" applyNumberFormat="1" applyFont="1" applyAlignment="1">
      <alignment horizontal="center"/>
    </xf>
    <xf numFmtId="1" fontId="12" fillId="0" borderId="0" xfId="0" applyNumberFormat="1" applyFont="1" applyAlignment="1">
      <alignment horizontal="center"/>
    </xf>
    <xf numFmtId="49" fontId="12" fillId="0" borderId="0" xfId="0" applyNumberFormat="1" applyFont="1" applyBorder="1" applyAlignment="1">
      <alignment horizontal="center"/>
    </xf>
    <xf numFmtId="1" fontId="12" fillId="0" borderId="0" xfId="0" applyNumberFormat="1" applyFont="1" applyBorder="1" applyAlignment="1" applyProtection="1">
      <alignment horizontal="center"/>
      <protection locked="0"/>
    </xf>
    <xf numFmtId="2" fontId="12" fillId="0" borderId="0" xfId="0" applyNumberFormat="1" applyFont="1" applyFill="1" applyBorder="1" applyAlignment="1" applyProtection="1">
      <protection locked="0"/>
    </xf>
    <xf numFmtId="49" fontId="12" fillId="0" borderId="0" xfId="0" applyNumberFormat="1" applyFont="1" applyFill="1" applyBorder="1" applyAlignment="1" applyProtection="1">
      <protection locked="0"/>
    </xf>
    <xf numFmtId="1" fontId="12" fillId="0" borderId="0" xfId="0" applyNumberFormat="1" applyFont="1" applyFill="1" applyBorder="1" applyAlignment="1" applyProtection="1">
      <protection locked="0"/>
    </xf>
    <xf numFmtId="49" fontId="12" fillId="0" borderId="0" xfId="0" applyNumberFormat="1" applyFont="1" applyFill="1" applyBorder="1" applyAlignment="1" applyProtection="1">
      <alignment horizontal="center"/>
      <protection locked="0"/>
    </xf>
    <xf numFmtId="0" fontId="12" fillId="0" borderId="0" xfId="0" applyFont="1" applyFill="1"/>
    <xf numFmtId="0" fontId="12" fillId="0" borderId="0" xfId="0" applyNumberFormat="1" applyFont="1" applyFill="1"/>
    <xf numFmtId="0" fontId="14" fillId="0" borderId="0" xfId="0" applyFont="1"/>
    <xf numFmtId="0" fontId="12" fillId="0" borderId="0" xfId="0" applyFont="1" applyFill="1" applyBorder="1"/>
    <xf numFmtId="0" fontId="12" fillId="0" borderId="3" xfId="0" applyFont="1" applyBorder="1" applyAlignment="1" applyProtection="1">
      <protection locked="0"/>
    </xf>
    <xf numFmtId="2" fontId="12" fillId="0" borderId="3" xfId="0" applyNumberFormat="1" applyFont="1" applyBorder="1" applyAlignment="1" applyProtection="1">
      <protection locked="0"/>
    </xf>
    <xf numFmtId="2" fontId="12" fillId="0" borderId="4" xfId="0" applyNumberFormat="1" applyFont="1" applyBorder="1" applyAlignment="1" applyProtection="1">
      <protection locked="0"/>
    </xf>
    <xf numFmtId="2" fontId="12" fillId="0" borderId="3" xfId="0" applyNumberFormat="1" applyFont="1" applyFill="1" applyBorder="1" applyAlignment="1" applyProtection="1">
      <protection locked="0"/>
    </xf>
    <xf numFmtId="0" fontId="12" fillId="0" borderId="0" xfId="0" applyFont="1" applyAlignment="1">
      <alignment horizontal="left"/>
    </xf>
    <xf numFmtId="0" fontId="12" fillId="0" borderId="0" xfId="0" applyNumberFormat="1" applyFont="1" applyBorder="1" applyAlignment="1" applyProtection="1">
      <protection locked="0"/>
    </xf>
    <xf numFmtId="1" fontId="12" fillId="0" borderId="0" xfId="0" applyNumberFormat="1" applyFont="1" applyFill="1" applyAlignment="1">
      <alignment horizontal="center"/>
    </xf>
    <xf numFmtId="1" fontId="12" fillId="0" borderId="0" xfId="0" applyNumberFormat="1" applyFont="1" applyFill="1" applyBorder="1" applyAlignment="1" applyProtection="1">
      <alignment horizontal="center"/>
      <protection locked="0"/>
    </xf>
    <xf numFmtId="0" fontId="12" fillId="0" borderId="0" xfId="0" applyFont="1" applyBorder="1" applyAlignment="1" applyProtection="1">
      <alignment horizontal="center"/>
      <protection locked="0"/>
    </xf>
    <xf numFmtId="164" fontId="12" fillId="0" borderId="0" xfId="0" applyNumberFormat="1" applyFont="1"/>
    <xf numFmtId="0" fontId="16" fillId="0" borderId="0" xfId="0" applyFont="1"/>
    <xf numFmtId="0" fontId="12" fillId="0" borderId="0" xfId="0" applyFont="1" applyAlignment="1">
      <alignment vertical="top"/>
    </xf>
    <xf numFmtId="49" fontId="12" fillId="0" borderId="0" xfId="0" applyNumberFormat="1" applyFont="1" applyAlignment="1">
      <alignment horizontal="center" vertical="center"/>
    </xf>
    <xf numFmtId="49" fontId="12" fillId="0" borderId="0" xfId="0" applyNumberFormat="1" applyFont="1" applyFill="1" applyAlignment="1">
      <alignment horizontal="center" vertical="center"/>
    </xf>
    <xf numFmtId="49" fontId="12" fillId="0" borderId="0" xfId="0" applyNumberFormat="1" applyFont="1" applyFill="1" applyBorder="1" applyAlignment="1">
      <alignment horizontal="center"/>
    </xf>
    <xf numFmtId="0" fontId="12" fillId="0" borderId="0" xfId="0" applyFont="1" applyFill="1" applyAlignment="1">
      <alignment horizontal="left"/>
    </xf>
    <xf numFmtId="0" fontId="12" fillId="0" borderId="0" xfId="0" applyFont="1" applyAlignment="1">
      <alignment horizontal="center" vertical="center"/>
    </xf>
    <xf numFmtId="1" fontId="12" fillId="0" borderId="0" xfId="0" applyNumberFormat="1" applyFont="1" applyAlignment="1">
      <alignment horizontal="center" vertical="center"/>
    </xf>
    <xf numFmtId="0" fontId="12" fillId="0" borderId="0" xfId="0" applyFont="1" applyFill="1" applyAlignment="1">
      <alignment vertical="top"/>
    </xf>
    <xf numFmtId="49" fontId="12" fillId="0" borderId="0" xfId="0" applyNumberFormat="1" applyFont="1" applyFill="1" applyAlignment="1">
      <alignment horizontal="center" vertical="top"/>
    </xf>
    <xf numFmtId="0" fontId="12" fillId="0" borderId="0" xfId="0" applyFont="1" applyFill="1" applyBorder="1" applyAlignment="1">
      <alignment horizontal="center" vertical="center"/>
    </xf>
    <xf numFmtId="0" fontId="32" fillId="0" borderId="0" xfId="0" applyFont="1"/>
    <xf numFmtId="0" fontId="12" fillId="0" borderId="0" xfId="0" applyFont="1" applyFill="1" applyAlignment="1"/>
    <xf numFmtId="0" fontId="12" fillId="0" borderId="0" xfId="0" quotePrefix="1" applyFont="1" applyAlignment="1">
      <alignment horizontal="center" vertical="center"/>
    </xf>
    <xf numFmtId="0" fontId="36" fillId="0" borderId="0" xfId="0" applyFont="1" applyBorder="1" applyAlignment="1" applyProtection="1">
      <protection locked="0"/>
    </xf>
    <xf numFmtId="1" fontId="12" fillId="0" borderId="0" xfId="0" applyNumberFormat="1" applyFont="1" applyFill="1" applyAlignment="1">
      <alignment horizontal="center" vertical="center"/>
    </xf>
    <xf numFmtId="0" fontId="12" fillId="0" borderId="0" xfId="0" applyFont="1" applyAlignment="1">
      <alignment vertical="center"/>
    </xf>
    <xf numFmtId="1" fontId="12" fillId="0" borderId="0" xfId="0" quotePrefix="1" applyNumberFormat="1" applyFont="1" applyFill="1" applyBorder="1" applyAlignment="1">
      <alignment horizontal="center"/>
    </xf>
    <xf numFmtId="1" fontId="12" fillId="0" borderId="0" xfId="0" applyNumberFormat="1" applyFont="1" applyBorder="1" applyAlignment="1" applyProtection="1">
      <alignment horizontal="center" vertical="center"/>
      <protection locked="0"/>
    </xf>
    <xf numFmtId="2" fontId="12" fillId="0" borderId="4" xfId="0" applyNumberFormat="1" applyFont="1" applyFill="1" applyBorder="1" applyAlignment="1" applyProtection="1">
      <protection locked="0"/>
    </xf>
    <xf numFmtId="0" fontId="12" fillId="0" borderId="0" xfId="0" quotePrefix="1" applyNumberFormat="1" applyFont="1" applyAlignment="1">
      <alignment horizontal="center"/>
    </xf>
    <xf numFmtId="0" fontId="42" fillId="0" borderId="0" xfId="0" applyFont="1"/>
    <xf numFmtId="0" fontId="12" fillId="0" borderId="0" xfId="0" applyFont="1" applyBorder="1" applyAlignment="1" applyProtection="1">
      <alignment vertical="top" wrapText="1"/>
      <protection locked="0"/>
    </xf>
    <xf numFmtId="0" fontId="12" fillId="0" borderId="0" xfId="0" applyFont="1" applyBorder="1" applyAlignment="1" applyProtection="1">
      <alignment vertical="top"/>
      <protection locked="0"/>
    </xf>
    <xf numFmtId="1" fontId="12" fillId="0" borderId="4" xfId="0" applyNumberFormat="1" applyFont="1" applyBorder="1" applyAlignment="1" applyProtection="1">
      <protection locked="0"/>
    </xf>
    <xf numFmtId="49" fontId="12" fillId="0" borderId="0" xfId="2" applyNumberFormat="1" applyFont="1" applyFill="1" applyAlignment="1">
      <alignment horizontal="center"/>
    </xf>
    <xf numFmtId="1" fontId="12" fillId="0" borderId="0" xfId="1" applyNumberFormat="1" applyFont="1" applyAlignment="1">
      <alignment horizontal="center"/>
    </xf>
    <xf numFmtId="1" fontId="12" fillId="0" borderId="0" xfId="1" applyNumberFormat="1" applyFont="1" applyFill="1" applyAlignment="1">
      <alignment horizontal="center"/>
    </xf>
    <xf numFmtId="49" fontId="12" fillId="0" borderId="0" xfId="2" applyNumberFormat="1" applyFont="1" applyAlignment="1">
      <alignment horizontal="center"/>
    </xf>
    <xf numFmtId="0" fontId="12" fillId="0" borderId="0" xfId="2" applyFont="1" applyFill="1"/>
    <xf numFmtId="1" fontId="12" fillId="0" borderId="0" xfId="2" applyNumberFormat="1" applyFont="1" applyAlignment="1">
      <alignment horizontal="center"/>
    </xf>
    <xf numFmtId="0" fontId="32" fillId="0" borderId="0" xfId="0" applyFont="1" applyAlignment="1"/>
    <xf numFmtId="0" fontId="16" fillId="0" borderId="0" xfId="0" applyFont="1" applyFill="1"/>
    <xf numFmtId="0" fontId="42" fillId="0" borderId="0" xfId="0" applyFont="1" applyFill="1"/>
    <xf numFmtId="0" fontId="12" fillId="0" borderId="0" xfId="0" applyFont="1" applyFill="1" applyBorder="1" applyAlignment="1" applyProtection="1">
      <alignment vertical="top" wrapText="1"/>
      <protection locked="0"/>
    </xf>
    <xf numFmtId="2" fontId="12" fillId="0" borderId="3" xfId="4613" applyNumberFormat="1" applyFont="1" applyBorder="1" applyAlignment="1" applyProtection="1">
      <protection locked="0"/>
    </xf>
    <xf numFmtId="2" fontId="12" fillId="0" borderId="4" xfId="4613" applyNumberFormat="1" applyFont="1" applyBorder="1" applyAlignment="1" applyProtection="1">
      <protection locked="0"/>
    </xf>
    <xf numFmtId="2" fontId="12" fillId="0" borderId="0" xfId="4613" applyNumberFormat="1" applyFont="1" applyBorder="1" applyAlignment="1" applyProtection="1">
      <protection locked="0"/>
    </xf>
    <xf numFmtId="2" fontId="12" fillId="0" borderId="0" xfId="0" applyNumberFormat="1" applyFont="1" applyFill="1" applyBorder="1"/>
    <xf numFmtId="2" fontId="12" fillId="0" borderId="0" xfId="0" applyNumberFormat="1" applyFont="1" applyBorder="1"/>
    <xf numFmtId="2" fontId="12" fillId="0" borderId="0" xfId="0" quotePrefix="1" applyNumberFormat="1" applyFont="1" applyFill="1" applyBorder="1" applyAlignment="1" applyProtection="1">
      <protection locked="0"/>
    </xf>
    <xf numFmtId="2" fontId="12" fillId="0" borderId="3" xfId="0" quotePrefix="1" applyNumberFormat="1" applyFont="1" applyFill="1" applyBorder="1" applyAlignment="1" applyProtection="1">
      <protection locked="0"/>
    </xf>
    <xf numFmtId="2" fontId="12" fillId="0" borderId="3" xfId="0" applyNumberFormat="1" applyFont="1" applyFill="1" applyBorder="1"/>
    <xf numFmtId="2" fontId="12" fillId="0" borderId="0" xfId="0" applyNumberFormat="1" applyFont="1" applyAlignment="1">
      <alignment horizontal="center" vertical="center"/>
    </xf>
    <xf numFmtId="0" fontId="14" fillId="0" borderId="0" xfId="0" applyFont="1" applyFill="1" applyAlignment="1"/>
    <xf numFmtId="0" fontId="12" fillId="0" borderId="0" xfId="0" applyNumberFormat="1" applyFont="1" applyFill="1" applyBorder="1" applyAlignment="1" applyProtection="1">
      <protection locked="0"/>
    </xf>
    <xf numFmtId="49" fontId="12" fillId="0" borderId="0" xfId="9135" applyNumberFormat="1" applyFont="1" applyFill="1" applyBorder="1" applyAlignment="1">
      <alignment horizontal="center" vertical="center"/>
    </xf>
    <xf numFmtId="0" fontId="12" fillId="0" borderId="0" xfId="0" applyFont="1" applyAlignment="1">
      <alignment vertical="top" wrapText="1"/>
    </xf>
    <xf numFmtId="2" fontId="12" fillId="0" borderId="3" xfId="0" applyNumberFormat="1" applyFont="1" applyFill="1" applyBorder="1" applyProtection="1">
      <protection locked="0"/>
    </xf>
    <xf numFmtId="2" fontId="12" fillId="0" borderId="0" xfId="0" applyNumberFormat="1" applyFont="1" applyFill="1" applyBorder="1" applyProtection="1">
      <protection locked="0"/>
    </xf>
    <xf numFmtId="2" fontId="12" fillId="0" borderId="4" xfId="0" applyNumberFormat="1" applyFont="1" applyFill="1" applyBorder="1" applyProtection="1">
      <protection locked="0"/>
    </xf>
    <xf numFmtId="0" fontId="11" fillId="0" borderId="0" xfId="0" applyFont="1" applyFill="1" applyBorder="1" applyAlignment="1" applyProtection="1">
      <protection locked="0"/>
    </xf>
    <xf numFmtId="0" fontId="12" fillId="0" borderId="0" xfId="2" applyFont="1" applyFill="1" applyAlignment="1" applyProtection="1">
      <alignment horizontal="left" wrapText="1"/>
    </xf>
    <xf numFmtId="0" fontId="12" fillId="0" borderId="0" xfId="0" applyFont="1" applyAlignment="1">
      <alignment horizontal="left" vertical="center"/>
    </xf>
    <xf numFmtId="0" fontId="12" fillId="0" borderId="0" xfId="0" applyFont="1" applyFill="1" applyAlignment="1">
      <alignment horizontal="left" vertical="center"/>
    </xf>
    <xf numFmtId="0" fontId="13" fillId="0" borderId="0" xfId="0" applyFont="1" applyFill="1" applyBorder="1" applyAlignment="1" applyProtection="1">
      <protection locked="0"/>
    </xf>
    <xf numFmtId="0" fontId="13" fillId="0" borderId="0" xfId="0" applyFont="1" applyBorder="1" applyAlignment="1" applyProtection="1">
      <protection locked="0"/>
    </xf>
    <xf numFmtId="49" fontId="12" fillId="0" borderId="0" xfId="4613" applyNumberFormat="1" applyFont="1" applyAlignment="1"/>
    <xf numFmtId="49" fontId="12" fillId="0" borderId="0" xfId="4613" applyNumberFormat="1" applyFont="1" applyAlignment="1">
      <alignment horizontal="left" vertical="top"/>
    </xf>
    <xf numFmtId="49" fontId="12" fillId="0" borderId="0" xfId="4613" applyNumberFormat="1" applyFont="1" applyBorder="1" applyAlignment="1" applyProtection="1">
      <protection locked="0"/>
    </xf>
    <xf numFmtId="49" fontId="12" fillId="0" borderId="0" xfId="4613" applyNumberFormat="1" applyFont="1" applyAlignment="1">
      <alignment horizontal="center"/>
    </xf>
    <xf numFmtId="1" fontId="32" fillId="0" borderId="0" xfId="9135" applyNumberFormat="1" applyFont="1" applyFill="1" applyBorder="1" applyAlignment="1">
      <alignment horizontal="center" vertical="center"/>
    </xf>
    <xf numFmtId="2" fontId="12" fillId="0" borderId="0" xfId="0" quotePrefix="1" applyNumberFormat="1" applyFont="1" applyAlignment="1">
      <alignment horizontal="center"/>
    </xf>
    <xf numFmtId="2" fontId="12" fillId="0" borderId="0" xfId="0" quotePrefix="1" applyNumberFormat="1" applyFont="1" applyAlignment="1">
      <alignment horizontal="center" vertical="center"/>
    </xf>
    <xf numFmtId="1" fontId="16" fillId="0" borderId="0" xfId="0" applyNumberFormat="1" applyFont="1" applyAlignment="1">
      <alignment horizontal="center" vertical="center"/>
    </xf>
    <xf numFmtId="1" fontId="16" fillId="0" borderId="0" xfId="0" applyNumberFormat="1" applyFont="1" applyFill="1" applyAlignment="1">
      <alignment horizontal="center" vertical="center"/>
    </xf>
    <xf numFmtId="0" fontId="0" fillId="0" borderId="0" xfId="0" applyAlignment="1">
      <alignment horizontal="center" vertical="center"/>
    </xf>
    <xf numFmtId="49" fontId="12" fillId="0" borderId="0" xfId="0" quotePrefix="1" applyNumberFormat="1" applyFont="1" applyAlignment="1">
      <alignment horizontal="center"/>
    </xf>
    <xf numFmtId="49" fontId="12" fillId="0" borderId="0" xfId="4613" applyNumberFormat="1" applyFont="1" applyFill="1" applyBorder="1" applyAlignment="1" applyProtection="1">
      <protection locked="0"/>
    </xf>
    <xf numFmtId="43" fontId="12" fillId="0" borderId="0" xfId="4613" applyFont="1" applyFill="1" applyBorder="1" applyAlignment="1" applyProtection="1">
      <protection locked="0"/>
    </xf>
    <xf numFmtId="49" fontId="12" fillId="0" borderId="0" xfId="4613" applyNumberFormat="1" applyFont="1" applyFill="1" applyAlignment="1">
      <alignment horizontal="center"/>
    </xf>
    <xf numFmtId="1" fontId="32" fillId="0" borderId="0" xfId="0" applyNumberFormat="1" applyFont="1" applyAlignment="1">
      <alignment horizontal="center" vertical="center"/>
    </xf>
    <xf numFmtId="0" fontId="12" fillId="0" borderId="0" xfId="0" applyFont="1" applyAlignment="1">
      <alignment vertical="center" wrapText="1"/>
    </xf>
    <xf numFmtId="2" fontId="12" fillId="0" borderId="0" xfId="2" applyNumberFormat="1" applyFont="1" applyFill="1" applyBorder="1" applyAlignment="1" applyProtection="1">
      <protection locked="0"/>
    </xf>
    <xf numFmtId="1" fontId="12" fillId="0" borderId="0" xfId="2" applyNumberFormat="1" applyFont="1" applyFill="1" applyBorder="1" applyAlignment="1">
      <alignment horizontal="center"/>
    </xf>
    <xf numFmtId="0" fontId="11" fillId="0" borderId="0" xfId="0" applyFont="1"/>
    <xf numFmtId="169" fontId="12" fillId="0" borderId="0" xfId="0" applyNumberFormat="1" applyFont="1" applyAlignment="1">
      <alignment horizontal="center"/>
    </xf>
    <xf numFmtId="0" fontId="12" fillId="0" borderId="4" xfId="0" applyFont="1" applyBorder="1"/>
    <xf numFmtId="44" fontId="32" fillId="0" borderId="0" xfId="9141" applyFont="1" applyFill="1" applyBorder="1" applyProtection="1">
      <protection locked="0"/>
    </xf>
    <xf numFmtId="0" fontId="12" fillId="0" borderId="0" xfId="0" applyFont="1" applyFill="1" applyBorder="1" applyProtection="1">
      <protection locked="0"/>
    </xf>
    <xf numFmtId="49" fontId="12" fillId="0" borderId="0" xfId="0" applyNumberFormat="1" applyFont="1" applyBorder="1" applyAlignment="1" applyProtection="1">
      <alignment horizontal="left"/>
      <protection locked="0"/>
    </xf>
    <xf numFmtId="2" fontId="12" fillId="27" borderId="3" xfId="0" applyNumberFormat="1" applyFont="1" applyFill="1" applyBorder="1" applyAlignment="1" applyProtection="1">
      <protection locked="0"/>
    </xf>
    <xf numFmtId="2" fontId="12" fillId="27" borderId="0" xfId="0" applyNumberFormat="1" applyFont="1" applyFill="1" applyBorder="1" applyAlignment="1" applyProtection="1">
      <protection locked="0"/>
    </xf>
    <xf numFmtId="2" fontId="12" fillId="27" borderId="4" xfId="0" applyNumberFormat="1" applyFont="1" applyFill="1" applyBorder="1" applyAlignment="1" applyProtection="1">
      <protection locked="0"/>
    </xf>
    <xf numFmtId="1" fontId="12" fillId="27" borderId="0" xfId="0" applyNumberFormat="1" applyFont="1" applyFill="1" applyBorder="1" applyAlignment="1" applyProtection="1">
      <protection locked="0"/>
    </xf>
    <xf numFmtId="49" fontId="12" fillId="0" borderId="0" xfId="13654" applyNumberFormat="1" applyFont="1" applyAlignment="1">
      <alignment horizontal="left" vertical="top"/>
    </xf>
    <xf numFmtId="0" fontId="51" fillId="0" borderId="0" xfId="0" applyFont="1"/>
    <xf numFmtId="49" fontId="12" fillId="27" borderId="0" xfId="0" applyNumberFormat="1" applyFont="1" applyFill="1" applyAlignment="1">
      <alignment horizontal="center"/>
    </xf>
    <xf numFmtId="170" fontId="12" fillId="0" borderId="0" xfId="0" applyNumberFormat="1" applyFont="1" applyFill="1" applyBorder="1" applyAlignment="1" applyProtection="1">
      <protection locked="0"/>
    </xf>
    <xf numFmtId="170" fontId="12" fillId="28" borderId="0" xfId="0" applyNumberFormat="1" applyFont="1" applyFill="1" applyBorder="1" applyAlignment="1" applyProtection="1">
      <protection locked="0"/>
    </xf>
    <xf numFmtId="170" fontId="12" fillId="0" borderId="0" xfId="0" applyNumberFormat="1" applyFont="1" applyBorder="1" applyAlignment="1" applyProtection="1">
      <protection locked="0"/>
    </xf>
    <xf numFmtId="170" fontId="12" fillId="0" borderId="0" xfId="4613" applyNumberFormat="1" applyFont="1" applyBorder="1" applyAlignment="1" applyProtection="1">
      <protection locked="0"/>
    </xf>
    <xf numFmtId="170" fontId="12" fillId="0" borderId="0" xfId="4613" applyNumberFormat="1" applyFont="1" applyFill="1" applyBorder="1" applyAlignment="1" applyProtection="1">
      <protection locked="0"/>
    </xf>
    <xf numFmtId="2" fontId="12" fillId="0" borderId="3" xfId="4613" applyNumberFormat="1" applyFont="1" applyFill="1" applyBorder="1" applyAlignment="1" applyProtection="1">
      <protection locked="0"/>
    </xf>
    <xf numFmtId="2" fontId="12" fillId="0" borderId="0" xfId="4613" applyNumberFormat="1" applyFont="1" applyFill="1" applyBorder="1" applyAlignment="1" applyProtection="1">
      <protection locked="0"/>
    </xf>
    <xf numFmtId="2" fontId="12" fillId="0" borderId="4" xfId="4613" applyNumberFormat="1" applyFont="1" applyFill="1" applyBorder="1" applyAlignment="1" applyProtection="1">
      <protection locked="0"/>
    </xf>
    <xf numFmtId="2" fontId="12" fillId="27" borderId="0" xfId="0" applyNumberFormat="1" applyFont="1" applyFill="1" applyBorder="1" applyAlignment="1" applyProtection="1">
      <alignment horizontal="right"/>
      <protection locked="0"/>
    </xf>
    <xf numFmtId="2" fontId="12" fillId="27" borderId="4" xfId="0" applyNumberFormat="1" applyFont="1" applyFill="1" applyBorder="1" applyAlignment="1" applyProtection="1">
      <alignment horizontal="right"/>
      <protection locked="0"/>
    </xf>
    <xf numFmtId="2" fontId="12" fillId="0" borderId="0" xfId="0" applyNumberFormat="1" applyFont="1" applyFill="1" applyBorder="1" applyAlignment="1" applyProtection="1">
      <alignment horizontal="right"/>
      <protection locked="0"/>
    </xf>
    <xf numFmtId="2" fontId="12" fillId="0" borderId="4" xfId="0" applyNumberFormat="1" applyFont="1" applyFill="1" applyBorder="1" applyAlignment="1" applyProtection="1">
      <alignment horizontal="right"/>
      <protection locked="0"/>
    </xf>
    <xf numFmtId="0" fontId="12" fillId="0" borderId="3" xfId="0" applyFont="1" applyFill="1" applyBorder="1" applyAlignment="1" applyProtection="1">
      <protection locked="0"/>
    </xf>
    <xf numFmtId="2" fontId="12" fillId="0" borderId="0" xfId="0" applyNumberFormat="1" applyFont="1" applyFill="1" applyBorder="1" applyAlignment="1" applyProtection="1">
      <alignment horizontal="right" vertical="center"/>
      <protection locked="0"/>
    </xf>
    <xf numFmtId="2" fontId="12" fillId="0" borderId="4" xfId="0" applyNumberFormat="1" applyFont="1" applyFill="1" applyBorder="1" applyAlignment="1" applyProtection="1">
      <alignment horizontal="right" vertical="center"/>
      <protection locked="0"/>
    </xf>
    <xf numFmtId="0" fontId="51" fillId="0" borderId="0" xfId="0" applyFont="1" applyAlignment="1">
      <alignment horizontal="left"/>
    </xf>
    <xf numFmtId="0" fontId="51" fillId="0" borderId="0" xfId="0" applyFont="1" applyAlignment="1"/>
    <xf numFmtId="0" fontId="52" fillId="0" borderId="0" xfId="0" applyFont="1" applyAlignment="1"/>
    <xf numFmtId="0" fontId="12" fillId="0" borderId="0" xfId="0" applyNumberFormat="1" applyFont="1" applyBorder="1" applyAlignment="1" applyProtection="1">
      <alignment wrapText="1"/>
      <protection locked="0"/>
    </xf>
    <xf numFmtId="0" fontId="12" fillId="0" borderId="0" xfId="0" applyNumberFormat="1" applyFont="1" applyFill="1" applyBorder="1" applyAlignment="1" applyProtection="1">
      <alignment wrapText="1"/>
      <protection locked="0"/>
    </xf>
    <xf numFmtId="0" fontId="12" fillId="0" borderId="0" xfId="0" applyNumberFormat="1" applyFont="1" applyAlignment="1"/>
    <xf numFmtId="0" fontId="12" fillId="0" borderId="0" xfId="13654" applyNumberFormat="1" applyFont="1" applyBorder="1" applyAlignment="1" applyProtection="1">
      <protection locked="0"/>
    </xf>
    <xf numFmtId="0" fontId="12" fillId="0" borderId="0" xfId="0" applyNumberFormat="1" applyFont="1" applyFill="1" applyBorder="1" applyAlignment="1"/>
    <xf numFmtId="0" fontId="51" fillId="0" borderId="0" xfId="0" applyNumberFormat="1" applyFont="1" applyAlignment="1"/>
    <xf numFmtId="0" fontId="52" fillId="0" borderId="0" xfId="0" applyNumberFormat="1" applyFont="1" applyAlignment="1"/>
    <xf numFmtId="0" fontId="12" fillId="0" borderId="0" xfId="4613" applyNumberFormat="1" applyFont="1" applyBorder="1" applyAlignment="1" applyProtection="1">
      <protection locked="0"/>
    </xf>
    <xf numFmtId="0" fontId="12" fillId="0" borderId="0" xfId="4613" applyNumberFormat="1" applyFont="1" applyBorder="1" applyAlignment="1" applyProtection="1">
      <alignment wrapText="1"/>
      <protection locked="0"/>
    </xf>
    <xf numFmtId="0" fontId="32" fillId="0" borderId="0" xfId="0" applyNumberFormat="1" applyFont="1" applyBorder="1" applyAlignment="1" applyProtection="1">
      <alignment wrapText="1"/>
      <protection locked="0"/>
    </xf>
    <xf numFmtId="0" fontId="12" fillId="0" borderId="0" xfId="0" applyNumberFormat="1" applyFont="1" applyFill="1" applyAlignment="1"/>
    <xf numFmtId="0" fontId="12" fillId="0" borderId="0" xfId="13654" applyNumberFormat="1" applyFont="1" applyAlignment="1"/>
    <xf numFmtId="0" fontId="12" fillId="0" borderId="0" xfId="13654" applyNumberFormat="1" applyFont="1" applyFill="1" applyBorder="1" applyAlignment="1"/>
    <xf numFmtId="0" fontId="32" fillId="0" borderId="0" xfId="2" applyNumberFormat="1" applyFont="1" applyAlignment="1"/>
    <xf numFmtId="0" fontId="42" fillId="0" borderId="0" xfId="0" applyNumberFormat="1" applyFont="1" applyAlignment="1"/>
    <xf numFmtId="0" fontId="12" fillId="0" borderId="0" xfId="0" applyNumberFormat="1" applyFont="1" applyBorder="1" applyAlignment="1"/>
    <xf numFmtId="0" fontId="16" fillId="0" borderId="0" xfId="0" applyNumberFormat="1" applyFont="1" applyAlignment="1"/>
    <xf numFmtId="0" fontId="16" fillId="0" borderId="0" xfId="0" applyFont="1" applyAlignment="1"/>
    <xf numFmtId="2" fontId="12" fillId="0" borderId="0" xfId="0" applyNumberFormat="1" applyFont="1" applyFill="1"/>
    <xf numFmtId="0" fontId="12" fillId="27" borderId="0" xfId="0" applyFont="1" applyFill="1"/>
    <xf numFmtId="0" fontId="55" fillId="0" borderId="0" xfId="0" applyFont="1"/>
    <xf numFmtId="0" fontId="55" fillId="0" borderId="0" xfId="0" applyNumberFormat="1" applyFont="1" applyFill="1" applyBorder="1" applyAlignment="1"/>
    <xf numFmtId="2" fontId="12" fillId="0" borderId="0" xfId="0" applyNumberFormat="1" applyFont="1" applyBorder="1" applyAlignment="1" applyProtection="1">
      <alignment horizontal="center"/>
      <protection locked="0"/>
    </xf>
    <xf numFmtId="2" fontId="12" fillId="0" borderId="4" xfId="0" applyNumberFormat="1" applyFont="1" applyBorder="1" applyAlignment="1" applyProtection="1">
      <alignment horizontal="center"/>
      <protection locked="0"/>
    </xf>
    <xf numFmtId="2" fontId="13" fillId="0" borderId="0" xfId="0" applyNumberFormat="1" applyFont="1" applyBorder="1" applyAlignment="1" applyProtection="1">
      <protection locked="0"/>
    </xf>
    <xf numFmtId="49" fontId="13" fillId="0" borderId="0" xfId="0" applyNumberFormat="1" applyFont="1" applyBorder="1" applyAlignment="1" applyProtection="1">
      <protection locked="0"/>
    </xf>
    <xf numFmtId="49" fontId="13" fillId="0" borderId="0" xfId="0" applyNumberFormat="1" applyFont="1" applyBorder="1" applyAlignment="1" applyProtection="1">
      <alignment horizontal="center"/>
      <protection locked="0"/>
    </xf>
    <xf numFmtId="44" fontId="13" fillId="0" borderId="0" xfId="0" applyNumberFormat="1" applyFont="1" applyBorder="1" applyAlignment="1" applyProtection="1">
      <protection locked="0"/>
    </xf>
    <xf numFmtId="1" fontId="13" fillId="0" borderId="0" xfId="0" applyNumberFormat="1" applyFont="1" applyBorder="1" applyAlignment="1" applyProtection="1">
      <protection locked="0"/>
    </xf>
    <xf numFmtId="2" fontId="13" fillId="0" borderId="3" xfId="0" applyNumberFormat="1" applyFont="1" applyBorder="1" applyAlignment="1" applyProtection="1">
      <protection locked="0"/>
    </xf>
    <xf numFmtId="2" fontId="13" fillId="0" borderId="4" xfId="0" applyNumberFormat="1" applyFont="1" applyBorder="1" applyAlignment="1" applyProtection="1">
      <protection locked="0"/>
    </xf>
    <xf numFmtId="49" fontId="50" fillId="0" borderId="0" xfId="0" applyNumberFormat="1" applyFont="1" applyFill="1"/>
    <xf numFmtId="2" fontId="50" fillId="0" borderId="3" xfId="0" applyNumberFormat="1" applyFont="1" applyFill="1" applyBorder="1" applyAlignment="1" applyProtection="1">
      <protection locked="0"/>
    </xf>
    <xf numFmtId="2" fontId="50" fillId="0" borderId="0" xfId="0" applyNumberFormat="1" applyFont="1" applyFill="1" applyBorder="1" applyAlignment="1" applyProtection="1">
      <protection locked="0"/>
    </xf>
    <xf numFmtId="2" fontId="50" fillId="0" borderId="4" xfId="0" applyNumberFormat="1" applyFont="1" applyFill="1" applyBorder="1" applyAlignment="1" applyProtection="1">
      <protection locked="0"/>
    </xf>
    <xf numFmtId="49" fontId="13" fillId="0" borderId="0" xfId="0" applyNumberFormat="1" applyFont="1" applyFill="1"/>
    <xf numFmtId="2" fontId="13" fillId="0" borderId="3" xfId="0" applyNumberFormat="1" applyFont="1" applyFill="1" applyBorder="1" applyAlignment="1" applyProtection="1">
      <protection locked="0"/>
    </xf>
    <xf numFmtId="2" fontId="13" fillId="0" borderId="0" xfId="0" applyNumberFormat="1" applyFont="1" applyFill="1" applyBorder="1" applyAlignment="1" applyProtection="1">
      <protection locked="0"/>
    </xf>
    <xf numFmtId="2" fontId="13" fillId="0" borderId="4" xfId="0" applyNumberFormat="1" applyFont="1" applyFill="1" applyBorder="1" applyAlignment="1" applyProtection="1">
      <protection locked="0"/>
    </xf>
    <xf numFmtId="0" fontId="13" fillId="0" borderId="0" xfId="0" applyFont="1" applyFill="1"/>
    <xf numFmtId="0" fontId="13" fillId="0" borderId="0" xfId="0" applyFont="1" applyFill="1" applyBorder="1"/>
    <xf numFmtId="0" fontId="57" fillId="0" borderId="0" xfId="0" applyFont="1" applyFill="1" applyAlignment="1"/>
    <xf numFmtId="1" fontId="13" fillId="0" borderId="0" xfId="1" applyNumberFormat="1" applyFont="1" applyFill="1" applyAlignment="1">
      <alignment horizontal="center"/>
    </xf>
    <xf numFmtId="0" fontId="50" fillId="0" borderId="0" xfId="0" applyFont="1" applyFill="1"/>
    <xf numFmtId="49" fontId="13" fillId="0" borderId="0" xfId="0" applyNumberFormat="1" applyFont="1" applyFill="1" applyBorder="1" applyAlignment="1" applyProtection="1">
      <alignment horizontal="center"/>
      <protection locked="0"/>
    </xf>
    <xf numFmtId="49" fontId="13" fillId="0" borderId="0" xfId="0" applyNumberFormat="1" applyFont="1" applyFill="1" applyAlignment="1">
      <alignment horizontal="center"/>
    </xf>
    <xf numFmtId="44" fontId="13" fillId="0" borderId="0" xfId="0" applyNumberFormat="1" applyFont="1" applyFill="1" applyBorder="1" applyAlignment="1" applyProtection="1">
      <protection locked="0"/>
    </xf>
    <xf numFmtId="1" fontId="13" fillId="0" borderId="0" xfId="0" applyNumberFormat="1" applyFont="1" applyFill="1" applyBorder="1" applyAlignment="1" applyProtection="1">
      <protection locked="0"/>
    </xf>
    <xf numFmtId="2" fontId="13" fillId="0" borderId="3" xfId="0" applyNumberFormat="1" applyFont="1" applyFill="1" applyBorder="1" applyProtection="1">
      <protection locked="0"/>
    </xf>
    <xf numFmtId="2" fontId="13" fillId="0" borderId="0" xfId="0" applyNumberFormat="1" applyFont="1" applyFill="1" applyBorder="1" applyProtection="1">
      <protection locked="0"/>
    </xf>
    <xf numFmtId="2" fontId="13" fillId="0" borderId="4" xfId="0" applyNumberFormat="1" applyFont="1" applyFill="1" applyBorder="1" applyProtection="1">
      <protection locked="0"/>
    </xf>
    <xf numFmtId="0" fontId="13" fillId="0" borderId="0" xfId="0" applyFont="1" applyFill="1" applyBorder="1" applyAlignment="1" applyProtection="1">
      <alignment wrapText="1"/>
      <protection locked="0"/>
    </xf>
    <xf numFmtId="49" fontId="50" fillId="0" borderId="0" xfId="0" applyNumberFormat="1" applyFont="1" applyFill="1" applyBorder="1" applyAlignment="1" applyProtection="1">
      <alignment horizontal="center"/>
      <protection locked="0"/>
    </xf>
    <xf numFmtId="1" fontId="50" fillId="0" borderId="0" xfId="0" applyNumberFormat="1" applyFont="1" applyFill="1" applyBorder="1" applyAlignment="1">
      <alignment horizontal="center"/>
    </xf>
    <xf numFmtId="0" fontId="50" fillId="0" borderId="0" xfId="0" applyFont="1" applyFill="1" applyBorder="1" applyAlignment="1" applyProtection="1">
      <protection locked="0"/>
    </xf>
    <xf numFmtId="49" fontId="50" fillId="0" borderId="0" xfId="0" applyNumberFormat="1" applyFont="1" applyFill="1" applyAlignment="1">
      <alignment horizontal="center"/>
    </xf>
    <xf numFmtId="44" fontId="50" fillId="0" borderId="0" xfId="0" applyNumberFormat="1" applyFont="1" applyFill="1" applyBorder="1" applyAlignment="1" applyProtection="1">
      <protection locked="0"/>
    </xf>
    <xf numFmtId="1" fontId="50" fillId="0" borderId="0" xfId="0" applyNumberFormat="1" applyFont="1" applyFill="1" applyBorder="1" applyAlignment="1" applyProtection="1">
      <protection locked="0"/>
    </xf>
    <xf numFmtId="2" fontId="50" fillId="0" borderId="3" xfId="0" applyNumberFormat="1" applyFont="1" applyFill="1" applyBorder="1" applyProtection="1">
      <protection locked="0"/>
    </xf>
    <xf numFmtId="2" fontId="50" fillId="0" borderId="0" xfId="0" applyNumberFormat="1" applyFont="1" applyFill="1" applyBorder="1" applyProtection="1">
      <protection locked="0"/>
    </xf>
    <xf numFmtId="2" fontId="50" fillId="0" borderId="4" xfId="0" applyNumberFormat="1" applyFont="1" applyFill="1" applyBorder="1" applyProtection="1">
      <protection locked="0"/>
    </xf>
    <xf numFmtId="0" fontId="50" fillId="0" borderId="0" xfId="0" applyFont="1" applyFill="1" applyBorder="1" applyAlignment="1" applyProtection="1">
      <alignment wrapText="1"/>
      <protection locked="0"/>
    </xf>
    <xf numFmtId="1" fontId="50" fillId="0" borderId="0" xfId="1" applyNumberFormat="1" applyFont="1" applyFill="1" applyAlignment="1">
      <alignment horizontal="center"/>
    </xf>
    <xf numFmtId="2" fontId="50" fillId="0" borderId="3" xfId="0" applyNumberFormat="1" applyFont="1" applyFill="1" applyBorder="1"/>
    <xf numFmtId="2" fontId="50" fillId="0" borderId="0" xfId="0" applyNumberFormat="1" applyFont="1" applyFill="1" applyBorder="1"/>
    <xf numFmtId="0" fontId="56" fillId="0" borderId="0" xfId="0" applyFont="1" applyFill="1" applyAlignment="1"/>
    <xf numFmtId="0" fontId="50" fillId="0" borderId="0" xfId="0" applyFont="1" applyFill="1" applyBorder="1"/>
    <xf numFmtId="0" fontId="56" fillId="0" borderId="0" xfId="0" applyFont="1" applyFill="1"/>
    <xf numFmtId="2" fontId="12" fillId="0" borderId="4" xfId="0" applyNumberFormat="1" applyFont="1" applyFill="1" applyBorder="1"/>
    <xf numFmtId="1" fontId="12" fillId="0" borderId="4" xfId="0" applyNumberFormat="1" applyFont="1" applyFill="1" applyBorder="1" applyAlignment="1" applyProtection="1">
      <protection locked="0"/>
    </xf>
    <xf numFmtId="1" fontId="12" fillId="27" borderId="4" xfId="0" applyNumberFormat="1" applyFont="1" applyFill="1" applyBorder="1" applyAlignment="1" applyProtection="1">
      <protection locked="0"/>
    </xf>
    <xf numFmtId="1" fontId="12" fillId="0" borderId="4" xfId="4613" applyNumberFormat="1" applyFont="1" applyBorder="1" applyAlignment="1" applyProtection="1">
      <protection locked="0"/>
    </xf>
    <xf numFmtId="0" fontId="12" fillId="27" borderId="4" xfId="0" applyFont="1" applyFill="1" applyBorder="1"/>
    <xf numFmtId="1" fontId="50" fillId="0" borderId="0" xfId="0" applyNumberFormat="1" applyFont="1" applyFill="1" applyAlignment="1">
      <alignment horizontal="center"/>
    </xf>
    <xf numFmtId="1" fontId="50" fillId="0" borderId="0" xfId="0" applyNumberFormat="1" applyFont="1" applyFill="1" applyAlignment="1">
      <alignment horizontal="center" vertical="center"/>
    </xf>
    <xf numFmtId="49" fontId="13" fillId="0" borderId="0" xfId="0" applyNumberFormat="1" applyFont="1" applyFill="1" applyBorder="1" applyAlignment="1" applyProtection="1">
      <protection locked="0"/>
    </xf>
    <xf numFmtId="0" fontId="13" fillId="0" borderId="0" xfId="0" applyFont="1" applyFill="1" applyAlignment="1">
      <alignment horizontal="center"/>
    </xf>
    <xf numFmtId="0" fontId="12" fillId="0" borderId="0" xfId="0" applyFont="1" applyFill="1" applyBorder="1" applyAlignment="1" applyProtection="1">
      <alignment horizontal="center"/>
      <protection locked="0"/>
    </xf>
    <xf numFmtId="0" fontId="58" fillId="0" borderId="0" xfId="0" applyFont="1" applyFill="1" applyAlignment="1">
      <alignment vertical="center" wrapText="1"/>
    </xf>
    <xf numFmtId="0" fontId="16" fillId="0" borderId="0" xfId="0" applyFont="1" applyFill="1" applyAlignment="1">
      <alignment vertical="center"/>
    </xf>
    <xf numFmtId="0" fontId="59" fillId="0" borderId="0" xfId="0" applyFont="1" applyFill="1" applyAlignment="1">
      <alignment horizontal="left" vertical="center" indent="1"/>
    </xf>
    <xf numFmtId="0" fontId="60" fillId="0" borderId="0" xfId="0" applyFont="1" applyFill="1" applyAlignment="1">
      <alignment horizontal="left" vertical="center" indent="1"/>
    </xf>
    <xf numFmtId="49" fontId="50" fillId="0" borderId="0" xfId="0" applyNumberFormat="1" applyFont="1" applyFill="1" applyBorder="1" applyAlignment="1" applyProtection="1">
      <protection locked="0"/>
    </xf>
    <xf numFmtId="0" fontId="61" fillId="0" borderId="0" xfId="0" applyFont="1" applyFill="1"/>
    <xf numFmtId="1" fontId="61" fillId="0" borderId="0" xfId="0" applyNumberFormat="1" applyFont="1" applyFill="1" applyAlignment="1">
      <alignment horizontal="center" vertical="center"/>
    </xf>
    <xf numFmtId="0" fontId="13" fillId="0" borderId="0" xfId="0" applyFont="1" applyFill="1" applyBorder="1" applyAlignment="1" applyProtection="1">
      <alignment horizontal="center"/>
      <protection locked="0"/>
    </xf>
    <xf numFmtId="2" fontId="12" fillId="0" borderId="3" xfId="0" applyNumberFormat="1" applyFont="1" applyFill="1" applyBorder="1" applyAlignment="1" applyProtection="1">
      <alignment horizontal="right" vertical="center"/>
      <protection locked="0"/>
    </xf>
    <xf numFmtId="0" fontId="40" fillId="0" borderId="0" xfId="0" applyFont="1" applyFill="1"/>
    <xf numFmtId="2" fontId="11" fillId="0" borderId="0" xfId="0" applyNumberFormat="1" applyFont="1" applyFill="1" applyBorder="1" applyAlignment="1" applyProtection="1">
      <protection locked="0"/>
    </xf>
    <xf numFmtId="49" fontId="11" fillId="0" borderId="0" xfId="0" applyNumberFormat="1" applyFont="1" applyFill="1" applyBorder="1" applyAlignment="1" applyProtection="1">
      <protection locked="0"/>
    </xf>
    <xf numFmtId="49" fontId="11" fillId="0" borderId="0" xfId="0" applyNumberFormat="1" applyFont="1" applyFill="1" applyBorder="1" applyAlignment="1" applyProtection="1">
      <alignment horizontal="center"/>
      <protection locked="0"/>
    </xf>
    <xf numFmtId="44" fontId="11" fillId="0" borderId="0" xfId="0" applyNumberFormat="1" applyFont="1" applyFill="1" applyBorder="1" applyAlignment="1" applyProtection="1">
      <protection locked="0"/>
    </xf>
    <xf numFmtId="1" fontId="11" fillId="0" borderId="0" xfId="0" applyNumberFormat="1" applyFont="1" applyFill="1" applyBorder="1" applyAlignment="1" applyProtection="1">
      <protection locked="0"/>
    </xf>
    <xf numFmtId="2" fontId="11" fillId="0" borderId="3" xfId="0" applyNumberFormat="1" applyFont="1" applyFill="1" applyBorder="1" applyAlignment="1" applyProtection="1">
      <protection locked="0"/>
    </xf>
    <xf numFmtId="2" fontId="11" fillId="0" borderId="4" xfId="0" applyNumberFormat="1" applyFont="1" applyFill="1" applyBorder="1" applyAlignment="1" applyProtection="1">
      <protection locked="0"/>
    </xf>
    <xf numFmtId="0" fontId="62" fillId="0" borderId="0" xfId="0" applyFont="1" applyFill="1"/>
    <xf numFmtId="0" fontId="11" fillId="0" borderId="0" xfId="0" applyFont="1" applyFill="1" applyAlignment="1"/>
    <xf numFmtId="1" fontId="11" fillId="0" borderId="0" xfId="0" applyNumberFormat="1" applyFont="1" applyFill="1" applyBorder="1" applyAlignment="1" applyProtection="1">
      <alignment horizontal="center" vertical="center"/>
      <protection locked="0"/>
    </xf>
    <xf numFmtId="0" fontId="11" fillId="0" borderId="0" xfId="0" applyFont="1" applyFill="1"/>
    <xf numFmtId="0" fontId="12" fillId="0" borderId="0" xfId="0" applyFont="1" applyFill="1" applyAlignment="1">
      <alignment horizontal="left" vertical="center" wrapText="1"/>
    </xf>
    <xf numFmtId="0" fontId="12" fillId="0" borderId="0" xfId="0" applyFont="1" applyFill="1" applyAlignment="1">
      <alignment vertical="center"/>
    </xf>
    <xf numFmtId="44" fontId="12" fillId="0" borderId="0" xfId="0" applyNumberFormat="1" applyFont="1" applyFill="1"/>
    <xf numFmtId="49" fontId="12" fillId="0" borderId="0" xfId="0" applyNumberFormat="1" applyFont="1" applyFill="1" applyBorder="1" applyAlignment="1" applyProtection="1">
      <alignment horizontal="left"/>
      <protection locked="0"/>
    </xf>
    <xf numFmtId="2" fontId="12" fillId="27" borderId="3" xfId="0" quotePrefix="1" applyNumberFormat="1" applyFont="1" applyFill="1" applyBorder="1" applyAlignment="1" applyProtection="1">
      <protection locked="0"/>
    </xf>
    <xf numFmtId="2" fontId="12" fillId="27" borderId="0" xfId="0" quotePrefix="1" applyNumberFormat="1" applyFont="1" applyFill="1" applyBorder="1" applyAlignment="1" applyProtection="1">
      <protection locked="0"/>
    </xf>
    <xf numFmtId="2" fontId="12" fillId="27" borderId="4" xfId="0" quotePrefix="1" applyNumberFormat="1" applyFont="1" applyFill="1" applyBorder="1" applyAlignment="1" applyProtection="1">
      <protection locked="0"/>
    </xf>
    <xf numFmtId="49" fontId="12" fillId="0" borderId="0" xfId="0" applyNumberFormat="1" applyFont="1" applyFill="1" applyBorder="1" applyAlignment="1" applyProtection="1">
      <alignment horizontal="center" vertical="center"/>
      <protection locked="0"/>
    </xf>
    <xf numFmtId="2" fontId="12" fillId="27" borderId="0" xfId="0" applyNumberFormat="1" applyFont="1" applyFill="1"/>
    <xf numFmtId="0" fontId="12" fillId="0" borderId="0" xfId="0" applyFont="1" applyBorder="1" applyAlignment="1" applyProtection="1">
      <alignment horizontal="left"/>
      <protection locked="0"/>
    </xf>
    <xf numFmtId="1" fontId="12" fillId="27" borderId="0" xfId="1" applyNumberFormat="1" applyFont="1" applyFill="1" applyAlignment="1">
      <alignment horizontal="center"/>
    </xf>
    <xf numFmtId="1" fontId="12" fillId="27" borderId="0" xfId="0" applyNumberFormat="1" applyFont="1" applyFill="1" applyAlignment="1">
      <alignment horizontal="center"/>
    </xf>
    <xf numFmtId="168" fontId="12" fillId="27" borderId="0" xfId="4613" applyNumberFormat="1" applyFont="1" applyFill="1"/>
    <xf numFmtId="2" fontId="12" fillId="0" borderId="3" xfId="0" applyNumberFormat="1" applyFont="1" applyFill="1" applyBorder="1" applyAlignment="1" applyProtection="1">
      <alignment horizontal="right"/>
      <protection locked="0"/>
    </xf>
    <xf numFmtId="0" fontId="0" fillId="0" borderId="0" xfId="0" applyAlignment="1">
      <alignment horizontal="center"/>
    </xf>
    <xf numFmtId="0" fontId="0" fillId="0" borderId="3" xfId="0" applyBorder="1"/>
    <xf numFmtId="1" fontId="13" fillId="0" borderId="4" xfId="0" applyNumberFormat="1" applyFont="1" applyBorder="1" applyAlignment="1" applyProtection="1">
      <protection locked="0"/>
    </xf>
    <xf numFmtId="1" fontId="50" fillId="0" borderId="4" xfId="0" applyNumberFormat="1" applyFont="1" applyFill="1" applyBorder="1" applyAlignment="1" applyProtection="1">
      <protection locked="0"/>
    </xf>
    <xf numFmtId="1" fontId="13" fillId="0" borderId="4" xfId="0" applyNumberFormat="1" applyFont="1" applyFill="1" applyBorder="1" applyAlignment="1" applyProtection="1">
      <protection locked="0"/>
    </xf>
    <xf numFmtId="1" fontId="11" fillId="0" borderId="4" xfId="0" applyNumberFormat="1" applyFont="1" applyFill="1" applyBorder="1" applyAlignment="1" applyProtection="1">
      <protection locked="0"/>
    </xf>
    <xf numFmtId="0" fontId="11" fillId="0" borderId="4" xfId="0" applyFont="1" applyFill="1" applyBorder="1"/>
    <xf numFmtId="0" fontId="12" fillId="0" borderId="4" xfId="0" applyFont="1" applyFill="1" applyBorder="1"/>
    <xf numFmtId="0" fontId="12" fillId="0" borderId="14" xfId="0" applyFont="1" applyBorder="1"/>
    <xf numFmtId="0" fontId="32" fillId="0" borderId="4" xfId="9135" applyFont="1" applyFill="1" applyBorder="1"/>
    <xf numFmtId="0" fontId="0" fillId="0" borderId="4" xfId="0" applyBorder="1"/>
    <xf numFmtId="0" fontId="0" fillId="0" borderId="0" xfId="0" applyFill="1"/>
    <xf numFmtId="0" fontId="12" fillId="0" borderId="0" xfId="0" applyFont="1" applyFill="1" applyAlignment="1">
      <alignment vertical="center" wrapText="1"/>
    </xf>
    <xf numFmtId="2" fontId="12" fillId="0" borderId="0" xfId="0" applyNumberFormat="1" applyFont="1"/>
    <xf numFmtId="2" fontId="11" fillId="0" borderId="0" xfId="0" applyNumberFormat="1" applyFont="1" applyFill="1"/>
    <xf numFmtId="2" fontId="11" fillId="0" borderId="4" xfId="0" applyNumberFormat="1" applyFont="1" applyFill="1" applyBorder="1"/>
    <xf numFmtId="2" fontId="12" fillId="0" borderId="4" xfId="0" applyNumberFormat="1" applyFont="1" applyBorder="1"/>
    <xf numFmtId="0" fontId="45" fillId="0" borderId="0" xfId="0" applyNumberFormat="1" applyFont="1" applyFill="1" applyBorder="1" applyAlignment="1" applyProtection="1">
      <alignment wrapText="1"/>
      <protection locked="0"/>
    </xf>
    <xf numFmtId="0" fontId="12" fillId="27" borderId="0" xfId="0" applyFont="1" applyFill="1" applyBorder="1" applyAlignment="1" applyProtection="1">
      <protection locked="0"/>
    </xf>
    <xf numFmtId="2" fontId="12" fillId="0" borderId="4" xfId="0" quotePrefix="1" applyNumberFormat="1" applyFont="1" applyFill="1" applyBorder="1" applyAlignment="1" applyProtection="1">
      <protection locked="0"/>
    </xf>
    <xf numFmtId="0" fontId="0" fillId="30" borderId="0" xfId="0" applyFill="1" applyBorder="1"/>
    <xf numFmtId="49" fontId="12" fillId="27" borderId="0" xfId="0" applyNumberFormat="1" applyFont="1" applyFill="1" applyBorder="1" applyAlignment="1" applyProtection="1">
      <alignment horizontal="center"/>
      <protection locked="0"/>
    </xf>
    <xf numFmtId="1" fontId="12" fillId="27" borderId="0" xfId="0" quotePrefix="1" applyNumberFormat="1" applyFont="1" applyFill="1" applyAlignment="1">
      <alignment horizontal="center" vertical="center"/>
    </xf>
    <xf numFmtId="1" fontId="12" fillId="27" borderId="0" xfId="0" quotePrefix="1" applyNumberFormat="1" applyFont="1" applyFill="1" applyBorder="1" applyAlignment="1">
      <alignment horizontal="center"/>
    </xf>
    <xf numFmtId="0" fontId="12" fillId="0" borderId="0" xfId="0" applyFont="1" applyFill="1" applyAlignment="1">
      <alignment horizontal="center"/>
    </xf>
    <xf numFmtId="0" fontId="16" fillId="0" borderId="0" xfId="0" applyNumberFormat="1" applyFont="1" applyFill="1" applyBorder="1" applyAlignment="1"/>
    <xf numFmtId="0" fontId="12" fillId="0" borderId="0" xfId="0" applyFont="1" applyFill="1" applyBorder="1" applyAlignment="1" applyProtection="1">
      <alignment horizontal="left"/>
      <protection locked="0"/>
    </xf>
    <xf numFmtId="1" fontId="12" fillId="0" borderId="0" xfId="0" applyNumberFormat="1" applyFont="1" applyAlignment="1">
      <alignment horizontal="left"/>
    </xf>
    <xf numFmtId="49" fontId="12" fillId="0" borderId="0" xfId="0" applyNumberFormat="1" applyFont="1" applyAlignment="1">
      <alignment horizontal="left"/>
    </xf>
    <xf numFmtId="49" fontId="12" fillId="0" borderId="0" xfId="0" applyNumberFormat="1" applyFont="1" applyFill="1" applyAlignment="1">
      <alignment horizontal="left"/>
    </xf>
    <xf numFmtId="49" fontId="12" fillId="0" borderId="0" xfId="4613" applyNumberFormat="1" applyFont="1" applyAlignment="1">
      <alignment horizontal="left"/>
    </xf>
    <xf numFmtId="49" fontId="12" fillId="0" borderId="0" xfId="0" applyNumberFormat="1" applyFont="1" applyAlignment="1"/>
    <xf numFmtId="0" fontId="12" fillId="31" borderId="0" xfId="0" applyFont="1" applyFill="1" applyBorder="1" applyAlignment="1" applyProtection="1">
      <protection locked="0"/>
    </xf>
    <xf numFmtId="49" fontId="11" fillId="0" borderId="0" xfId="0" applyNumberFormat="1" applyFont="1" applyFill="1"/>
    <xf numFmtId="49" fontId="11" fillId="0" borderId="0" xfId="0" applyNumberFormat="1" applyFont="1" applyFill="1" applyAlignment="1">
      <alignment horizontal="center"/>
    </xf>
    <xf numFmtId="0" fontId="11" fillId="0" borderId="0" xfId="0" applyFont="1" applyFill="1" applyBorder="1" applyAlignment="1" applyProtection="1">
      <alignment wrapText="1"/>
      <protection locked="0"/>
    </xf>
    <xf numFmtId="0" fontId="11" fillId="0" borderId="0" xfId="2" applyFont="1" applyFill="1" applyAlignment="1" applyProtection="1">
      <alignment horizontal="left" wrapText="1"/>
    </xf>
    <xf numFmtId="0" fontId="12" fillId="0" borderId="0" xfId="0" applyFont="1" applyAlignment="1"/>
    <xf numFmtId="1" fontId="63" fillId="0" borderId="0" xfId="0" applyNumberFormat="1" applyFont="1" applyFill="1" applyAlignment="1">
      <alignment horizontal="center" vertical="center"/>
    </xf>
    <xf numFmtId="0" fontId="11" fillId="0" borderId="0" xfId="0" applyFont="1" applyFill="1" applyAlignment="1">
      <alignment horizontal="center"/>
    </xf>
    <xf numFmtId="165" fontId="11" fillId="0" borderId="0" xfId="0" applyNumberFormat="1" applyFont="1" applyFill="1" applyBorder="1" applyAlignment="1" applyProtection="1">
      <alignment horizontal="center"/>
      <protection locked="0"/>
    </xf>
    <xf numFmtId="0" fontId="65" fillId="0" borderId="0" xfId="0" applyFont="1" applyFill="1" applyAlignment="1"/>
    <xf numFmtId="2" fontId="12" fillId="27" borderId="3" xfId="0" applyNumberFormat="1" applyFont="1" applyFill="1" applyBorder="1"/>
    <xf numFmtId="2" fontId="12" fillId="27" borderId="4" xfId="0" applyNumberFormat="1" applyFont="1" applyFill="1" applyBorder="1"/>
    <xf numFmtId="1" fontId="37" fillId="0" borderId="0" xfId="0" applyNumberFormat="1" applyFont="1" applyFill="1" applyBorder="1" applyAlignment="1" applyProtection="1">
      <protection locked="0"/>
    </xf>
    <xf numFmtId="1" fontId="37" fillId="0" borderId="4" xfId="0" applyNumberFormat="1" applyFont="1" applyFill="1" applyBorder="1" applyAlignment="1" applyProtection="1">
      <protection locked="0"/>
    </xf>
    <xf numFmtId="1" fontId="66" fillId="0" borderId="0" xfId="0" applyNumberFormat="1" applyFont="1" applyFill="1" applyBorder="1" applyAlignment="1" applyProtection="1">
      <protection locked="0"/>
    </xf>
    <xf numFmtId="1" fontId="66" fillId="0" borderId="4" xfId="0" applyNumberFormat="1" applyFont="1" applyFill="1" applyBorder="1" applyAlignment="1" applyProtection="1">
      <protection locked="0"/>
    </xf>
    <xf numFmtId="0" fontId="37" fillId="0" borderId="0" xfId="0" applyFont="1" applyFill="1"/>
    <xf numFmtId="2" fontId="44" fillId="0" borderId="0" xfId="0" applyNumberFormat="1" applyFont="1" applyFill="1" applyBorder="1" applyAlignment="1" applyProtection="1">
      <protection locked="0"/>
    </xf>
    <xf numFmtId="2" fontId="44" fillId="0" borderId="4" xfId="0" applyNumberFormat="1" applyFont="1" applyFill="1" applyBorder="1" applyAlignment="1" applyProtection="1">
      <protection locked="0"/>
    </xf>
    <xf numFmtId="0" fontId="45" fillId="0" borderId="0" xfId="0" applyNumberFormat="1" applyFont="1" applyFill="1" applyBorder="1" applyAlignment="1" applyProtection="1">
      <alignment horizontal="left" wrapText="1"/>
      <protection locked="0"/>
    </xf>
    <xf numFmtId="2" fontId="37" fillId="0" borderId="0" xfId="0" applyNumberFormat="1" applyFont="1" applyFill="1" applyBorder="1" applyAlignment="1" applyProtection="1">
      <protection locked="0"/>
    </xf>
    <xf numFmtId="2" fontId="37" fillId="0" borderId="4" xfId="0" applyNumberFormat="1" applyFont="1" applyFill="1" applyBorder="1" applyAlignment="1" applyProtection="1">
      <protection locked="0"/>
    </xf>
    <xf numFmtId="2" fontId="66" fillId="0" borderId="0" xfId="0" applyNumberFormat="1" applyFont="1" applyFill="1" applyBorder="1" applyAlignment="1" applyProtection="1">
      <protection locked="0"/>
    </xf>
    <xf numFmtId="2" fontId="66" fillId="0" borderId="4" xfId="0" applyNumberFormat="1" applyFont="1" applyFill="1" applyBorder="1" applyAlignment="1" applyProtection="1">
      <protection locked="0"/>
    </xf>
    <xf numFmtId="2" fontId="37" fillId="0" borderId="0" xfId="0" applyNumberFormat="1" applyFont="1" applyBorder="1" applyAlignment="1" applyProtection="1">
      <protection locked="0"/>
    </xf>
    <xf numFmtId="49" fontId="37" fillId="0" borderId="0" xfId="0" applyNumberFormat="1" applyFont="1" applyBorder="1" applyAlignment="1" applyProtection="1">
      <protection locked="0"/>
    </xf>
    <xf numFmtId="0" fontId="37" fillId="0" borderId="0" xfId="0" applyFont="1" applyBorder="1" applyAlignment="1" applyProtection="1">
      <protection locked="0"/>
    </xf>
    <xf numFmtId="49" fontId="37" fillId="0" borderId="0" xfId="0" applyNumberFormat="1" applyFont="1" applyBorder="1" applyAlignment="1" applyProtection="1">
      <alignment horizontal="center"/>
      <protection locked="0"/>
    </xf>
    <xf numFmtId="0" fontId="37" fillId="0" borderId="0" xfId="0" applyFont="1"/>
    <xf numFmtId="44" fontId="37" fillId="0" borderId="0" xfId="0" applyNumberFormat="1" applyFont="1" applyBorder="1" applyAlignment="1" applyProtection="1">
      <protection locked="0"/>
    </xf>
    <xf numFmtId="1" fontId="37" fillId="0" borderId="0" xfId="0" applyNumberFormat="1" applyFont="1" applyBorder="1" applyAlignment="1" applyProtection="1">
      <protection locked="0"/>
    </xf>
    <xf numFmtId="1" fontId="37" fillId="0" borderId="4" xfId="0" applyNumberFormat="1" applyFont="1" applyBorder="1" applyAlignment="1" applyProtection="1">
      <protection locked="0"/>
    </xf>
    <xf numFmtId="2" fontId="37" fillId="0" borderId="4" xfId="0" applyNumberFormat="1" applyFont="1" applyBorder="1" applyAlignment="1" applyProtection="1">
      <protection locked="0"/>
    </xf>
    <xf numFmtId="0" fontId="37" fillId="0" borderId="0" xfId="0" applyFont="1" applyFill="1" applyAlignment="1">
      <alignment horizontal="left"/>
    </xf>
    <xf numFmtId="49" fontId="37" fillId="0" borderId="0" xfId="0" applyNumberFormat="1" applyFont="1" applyFill="1"/>
    <xf numFmtId="49" fontId="37" fillId="0" borderId="0" xfId="0" applyNumberFormat="1" applyFont="1" applyFill="1" applyAlignment="1">
      <alignment horizontal="center"/>
    </xf>
    <xf numFmtId="49" fontId="37" fillId="0" borderId="0" xfId="0" applyNumberFormat="1" applyFont="1" applyFill="1" applyBorder="1" applyAlignment="1" applyProtection="1">
      <alignment horizontal="center"/>
      <protection locked="0"/>
    </xf>
    <xf numFmtId="44" fontId="37" fillId="0" borderId="0" xfId="0" applyNumberFormat="1" applyFont="1" applyFill="1" applyBorder="1" applyAlignment="1" applyProtection="1">
      <protection locked="0"/>
    </xf>
    <xf numFmtId="0" fontId="37" fillId="0" borderId="0" xfId="0" applyFont="1" applyFill="1" applyBorder="1" applyAlignment="1" applyProtection="1">
      <protection locked="0"/>
    </xf>
    <xf numFmtId="0" fontId="66" fillId="0" borderId="0" xfId="0" applyFont="1" applyFill="1"/>
    <xf numFmtId="0" fontId="66" fillId="0" borderId="0" xfId="0" applyFont="1" applyFill="1" applyAlignment="1">
      <alignment vertical="center"/>
    </xf>
    <xf numFmtId="49" fontId="66" fillId="0" borderId="0" xfId="0" applyNumberFormat="1" applyFont="1" applyFill="1" applyAlignment="1">
      <alignment horizontal="center"/>
    </xf>
    <xf numFmtId="49" fontId="66" fillId="0" borderId="0" xfId="0" applyNumberFormat="1" applyFont="1" applyFill="1" applyBorder="1" applyAlignment="1" applyProtection="1">
      <alignment horizontal="center"/>
      <protection locked="0"/>
    </xf>
    <xf numFmtId="44" fontId="66" fillId="0" borderId="0" xfId="0" applyNumberFormat="1" applyFont="1" applyFill="1" applyBorder="1" applyAlignment="1" applyProtection="1">
      <protection locked="0"/>
    </xf>
    <xf numFmtId="0" fontId="66" fillId="0" borderId="0" xfId="0" applyFont="1" applyFill="1" applyBorder="1" applyAlignment="1" applyProtection="1">
      <protection locked="0"/>
    </xf>
    <xf numFmtId="0" fontId="66" fillId="0" borderId="0" xfId="0" applyFont="1" applyFill="1" applyAlignment="1">
      <alignment vertical="center" wrapText="1"/>
    </xf>
    <xf numFmtId="0" fontId="37" fillId="0" borderId="0" xfId="0" applyFont="1" applyFill="1" applyBorder="1" applyAlignment="1" applyProtection="1">
      <alignment wrapText="1"/>
      <protection locked="0"/>
    </xf>
    <xf numFmtId="0" fontId="45" fillId="29" borderId="0" xfId="0" applyNumberFormat="1" applyFont="1" applyFill="1" applyBorder="1" applyAlignment="1" applyProtection="1">
      <alignment wrapText="1"/>
      <protection locked="0"/>
    </xf>
    <xf numFmtId="49" fontId="12" fillId="27" borderId="0" xfId="0" applyNumberFormat="1" applyFont="1" applyFill="1" applyBorder="1" applyAlignment="1">
      <alignment horizontal="center"/>
    </xf>
    <xf numFmtId="1" fontId="12" fillId="27" borderId="0" xfId="0" quotePrefix="1" applyNumberFormat="1" applyFont="1" applyFill="1" applyAlignment="1">
      <alignment horizontal="center"/>
    </xf>
    <xf numFmtId="1" fontId="12" fillId="27" borderId="0" xfId="0" applyNumberFormat="1" applyFont="1" applyFill="1" applyBorder="1" applyAlignment="1" applyProtection="1">
      <alignment horizontal="center"/>
      <protection locked="0"/>
    </xf>
    <xf numFmtId="1" fontId="12" fillId="27" borderId="0" xfId="0" applyNumberFormat="1" applyFont="1" applyFill="1" applyBorder="1" applyAlignment="1">
      <alignment horizontal="center"/>
    </xf>
    <xf numFmtId="1" fontId="12" fillId="0" borderId="0" xfId="0" quotePrefix="1" applyNumberFormat="1" applyFont="1" applyFill="1" applyAlignment="1">
      <alignment horizontal="center" vertical="center"/>
    </xf>
    <xf numFmtId="1" fontId="12" fillId="0" borderId="4" xfId="4613" applyNumberFormat="1" applyFont="1" applyFill="1" applyBorder="1" applyAlignment="1" applyProtection="1">
      <protection locked="0"/>
    </xf>
    <xf numFmtId="1" fontId="12" fillId="0" borderId="4" xfId="0" quotePrefix="1" applyNumberFormat="1" applyFont="1" applyFill="1" applyBorder="1" applyAlignment="1" applyProtection="1">
      <protection locked="0"/>
    </xf>
    <xf numFmtId="44" fontId="12" fillId="0" borderId="0" xfId="0" applyNumberFormat="1" applyFont="1" applyFill="1" applyBorder="1"/>
    <xf numFmtId="0" fontId="12" fillId="0" borderId="0" xfId="0" applyNumberFormat="1" applyFont="1" applyFill="1" applyBorder="1"/>
    <xf numFmtId="0" fontId="12" fillId="0" borderId="0" xfId="0" applyFont="1" applyFill="1" applyAlignment="1">
      <alignment horizontal="left" vertical="top"/>
    </xf>
    <xf numFmtId="0" fontId="13" fillId="0" borderId="0" xfId="0" applyFont="1" applyFill="1" applyBorder="1" applyAlignment="1" applyProtection="1">
      <alignment horizontal="left"/>
      <protection locked="0"/>
    </xf>
    <xf numFmtId="2" fontId="12" fillId="0" borderId="0" xfId="0" quotePrefix="1" applyNumberFormat="1" applyFont="1" applyFill="1" applyAlignment="1">
      <alignment horizontal="center"/>
    </xf>
    <xf numFmtId="2" fontId="12" fillId="0" borderId="0" xfId="0" quotePrefix="1" applyNumberFormat="1" applyFont="1" applyFill="1" applyAlignment="1">
      <alignment horizontal="center" vertical="center"/>
    </xf>
    <xf numFmtId="170" fontId="12" fillId="0" borderId="0" xfId="0" applyNumberFormat="1" applyFont="1" applyFill="1" applyBorder="1" applyAlignment="1" applyProtection="1">
      <alignment horizontal="right"/>
      <protection locked="0"/>
    </xf>
    <xf numFmtId="170" fontId="12" fillId="0" borderId="0" xfId="0" applyNumberFormat="1" applyFont="1" applyFill="1"/>
    <xf numFmtId="0" fontId="16" fillId="0" borderId="0" xfId="0" applyFont="1" applyFill="1" applyAlignment="1"/>
    <xf numFmtId="170" fontId="13" fillId="0" borderId="0" xfId="0" applyNumberFormat="1" applyFont="1" applyBorder="1" applyAlignment="1" applyProtection="1">
      <protection locked="0"/>
    </xf>
    <xf numFmtId="170" fontId="50" fillId="0" borderId="0" xfId="0" applyNumberFormat="1" applyFont="1" applyFill="1" applyBorder="1" applyAlignment="1" applyProtection="1">
      <protection locked="0"/>
    </xf>
    <xf numFmtId="170" fontId="13" fillId="0" borderId="0" xfId="0" applyNumberFormat="1" applyFont="1" applyFill="1" applyBorder="1" applyAlignment="1" applyProtection="1">
      <protection locked="0"/>
    </xf>
    <xf numFmtId="14" fontId="12" fillId="0" borderId="0" xfId="0" applyNumberFormat="1" applyFont="1" applyBorder="1" applyAlignment="1" applyProtection="1">
      <protection locked="0"/>
    </xf>
    <xf numFmtId="14" fontId="12" fillId="0" borderId="0" xfId="0" applyNumberFormat="1" applyFont="1" applyFill="1" applyBorder="1" applyAlignment="1" applyProtection="1">
      <protection locked="0"/>
    </xf>
    <xf numFmtId="170" fontId="11" fillId="0" borderId="0" xfId="0" applyNumberFormat="1" applyFont="1" applyFill="1" applyBorder="1" applyAlignment="1" applyProtection="1">
      <protection locked="0"/>
    </xf>
    <xf numFmtId="0" fontId="45" fillId="2" borderId="15" xfId="0" applyFont="1" applyFill="1" applyBorder="1" applyAlignment="1" applyProtection="1">
      <alignment wrapText="1"/>
      <protection locked="0"/>
    </xf>
    <xf numFmtId="0" fontId="45" fillId="29" borderId="16" xfId="0" applyFont="1" applyFill="1" applyBorder="1" applyAlignment="1">
      <alignment wrapText="1"/>
    </xf>
    <xf numFmtId="2" fontId="45" fillId="2" borderId="16" xfId="0" applyNumberFormat="1" applyFont="1" applyFill="1" applyBorder="1" applyAlignment="1" applyProtection="1">
      <alignment wrapText="1"/>
      <protection locked="0"/>
    </xf>
    <xf numFmtId="0" fontId="45" fillId="2" borderId="16" xfId="0" applyFont="1" applyFill="1" applyBorder="1" applyAlignment="1" applyProtection="1">
      <alignment wrapText="1"/>
      <protection locked="0"/>
    </xf>
    <xf numFmtId="49" fontId="45" fillId="2" borderId="16" xfId="0" applyNumberFormat="1" applyFont="1" applyFill="1" applyBorder="1" applyAlignment="1" applyProtection="1">
      <alignment wrapText="1"/>
      <protection locked="0"/>
    </xf>
    <xf numFmtId="49" fontId="45" fillId="2" borderId="16" xfId="0" applyNumberFormat="1" applyFont="1" applyFill="1" applyBorder="1" applyAlignment="1" applyProtection="1">
      <alignment horizontal="left" wrapText="1"/>
      <protection locked="0"/>
    </xf>
    <xf numFmtId="1" fontId="45" fillId="2" borderId="16" xfId="0" applyNumberFormat="1" applyFont="1" applyFill="1" applyBorder="1" applyAlignment="1" applyProtection="1">
      <alignment wrapText="1"/>
      <protection locked="0"/>
    </xf>
    <xf numFmtId="2" fontId="45" fillId="2" borderId="17" xfId="0" applyNumberFormat="1" applyFont="1" applyFill="1" applyBorder="1" applyAlignment="1" applyProtection="1">
      <alignment wrapText="1"/>
      <protection locked="0"/>
    </xf>
    <xf numFmtId="2" fontId="45" fillId="2" borderId="15" xfId="0" applyNumberFormat="1" applyFont="1" applyFill="1" applyBorder="1" applyAlignment="1" applyProtection="1">
      <alignment wrapText="1"/>
      <protection locked="0"/>
    </xf>
    <xf numFmtId="0" fontId="45" fillId="3" borderId="16" xfId="0" applyFont="1" applyFill="1" applyBorder="1" applyAlignment="1" applyProtection="1">
      <alignment wrapText="1"/>
      <protection locked="0"/>
    </xf>
    <xf numFmtId="0" fontId="45" fillId="4" borderId="16" xfId="0" applyFont="1" applyFill="1" applyBorder="1" applyAlignment="1" applyProtection="1">
      <alignment wrapText="1"/>
      <protection locked="0"/>
    </xf>
    <xf numFmtId="0" fontId="45" fillId="4" borderId="17" xfId="0" applyFont="1" applyFill="1" applyBorder="1" applyAlignment="1" applyProtection="1">
      <alignment wrapText="1"/>
      <protection locked="0"/>
    </xf>
    <xf numFmtId="0" fontId="45" fillId="2" borderId="16" xfId="0" applyNumberFormat="1" applyFont="1" applyFill="1" applyBorder="1" applyAlignment="1" applyProtection="1">
      <alignment horizontal="left" wrapText="1"/>
      <protection locked="0"/>
    </xf>
    <xf numFmtId="0" fontId="45" fillId="2" borderId="17" xfId="0" applyNumberFormat="1" applyFont="1" applyFill="1" applyBorder="1" applyAlignment="1" applyProtection="1">
      <alignment horizontal="left" wrapText="1"/>
      <protection locked="0"/>
    </xf>
    <xf numFmtId="0" fontId="45" fillId="2" borderId="15" xfId="0" applyNumberFormat="1" applyFont="1" applyFill="1" applyBorder="1" applyAlignment="1" applyProtection="1">
      <alignment horizontal="left" wrapText="1"/>
      <protection locked="0"/>
    </xf>
    <xf numFmtId="0" fontId="45" fillId="3" borderId="16" xfId="0" applyNumberFormat="1" applyFont="1" applyFill="1" applyBorder="1" applyAlignment="1" applyProtection="1">
      <alignment horizontal="left" wrapText="1"/>
      <protection locked="0"/>
    </xf>
    <xf numFmtId="0" fontId="45" fillId="4" borderId="16" xfId="0" applyNumberFormat="1" applyFont="1" applyFill="1" applyBorder="1" applyAlignment="1" applyProtection="1">
      <alignment horizontal="left" wrapText="1"/>
      <protection locked="0"/>
    </xf>
    <xf numFmtId="0" fontId="45" fillId="4" borderId="16" xfId="0" applyNumberFormat="1" applyFont="1" applyFill="1" applyBorder="1" applyAlignment="1" applyProtection="1">
      <alignment horizontal="left"/>
      <protection locked="0"/>
    </xf>
    <xf numFmtId="0" fontId="12" fillId="0" borderId="0" xfId="0" applyFont="1" applyBorder="1" applyAlignment="1">
      <alignment horizontal="center"/>
    </xf>
    <xf numFmtId="0" fontId="45" fillId="4" borderId="17" xfId="0" applyNumberFormat="1" applyFont="1" applyFill="1" applyBorder="1" applyAlignment="1" applyProtection="1">
      <alignment horizontal="left" wrapText="1"/>
      <protection locked="0"/>
    </xf>
    <xf numFmtId="2" fontId="12" fillId="0" borderId="14" xfId="0" applyNumberFormat="1" applyFont="1" applyBorder="1"/>
    <xf numFmtId="0" fontId="45" fillId="2" borderId="18" xfId="0" applyNumberFormat="1" applyFont="1" applyFill="1" applyBorder="1" applyAlignment="1" applyProtection="1">
      <alignment horizontal="left" wrapText="1"/>
      <protection locked="0"/>
    </xf>
    <xf numFmtId="2" fontId="12" fillId="27" borderId="0" xfId="0" applyNumberFormat="1" applyFont="1" applyFill="1" applyBorder="1"/>
    <xf numFmtId="0" fontId="12" fillId="0" borderId="3" xfId="0" applyFont="1" applyFill="1" applyBorder="1"/>
    <xf numFmtId="0" fontId="0" fillId="0" borderId="0" xfId="0" applyBorder="1"/>
    <xf numFmtId="0" fontId="13" fillId="0" borderId="0" xfId="0" applyFont="1" applyFill="1" applyAlignment="1">
      <alignment horizontal="left" vertical="center"/>
    </xf>
    <xf numFmtId="0" fontId="13" fillId="0" borderId="0" xfId="2" applyFont="1" applyFill="1" applyAlignment="1" applyProtection="1">
      <alignment horizontal="left"/>
    </xf>
    <xf numFmtId="1" fontId="16" fillId="27" borderId="0" xfId="0" applyNumberFormat="1" applyFont="1" applyFill="1" applyAlignment="1">
      <alignment horizontal="center" vertical="center"/>
    </xf>
    <xf numFmtId="0" fontId="70" fillId="0" borderId="0" xfId="0" applyFont="1" applyFill="1"/>
    <xf numFmtId="0" fontId="12" fillId="27" borderId="0" xfId="0" applyFont="1" applyFill="1" applyBorder="1"/>
    <xf numFmtId="1" fontId="12" fillId="0" borderId="0" xfId="0" applyNumberFormat="1" applyFont="1" applyFill="1" applyBorder="1" applyAlignment="1" applyProtection="1">
      <alignment horizontal="center" vertical="center"/>
      <protection locked="0"/>
    </xf>
    <xf numFmtId="0" fontId="11" fillId="0" borderId="0" xfId="0" applyFont="1" applyFill="1" applyAlignment="1">
      <alignment vertical="center"/>
    </xf>
    <xf numFmtId="1" fontId="12" fillId="0" borderId="0" xfId="0" applyNumberFormat="1" applyFont="1" applyFill="1" applyBorder="1" applyAlignment="1" applyProtection="1">
      <alignment horizontal="center" wrapText="1"/>
      <protection locked="0"/>
    </xf>
    <xf numFmtId="1" fontId="32" fillId="0" borderId="0" xfId="0" applyNumberFormat="1" applyFont="1" applyFill="1" applyAlignment="1">
      <alignment horizontal="right"/>
    </xf>
    <xf numFmtId="1" fontId="32" fillId="0" borderId="0" xfId="0" applyNumberFormat="1" applyFont="1" applyFill="1" applyAlignment="1">
      <alignment horizontal="center" vertical="center"/>
    </xf>
    <xf numFmtId="2" fontId="12" fillId="0" borderId="0" xfId="0" applyNumberFormat="1" applyFont="1" applyFill="1" applyBorder="1" applyAlignment="1" applyProtection="1">
      <alignment horizontal="center"/>
      <protection locked="0"/>
    </xf>
    <xf numFmtId="0" fontId="12" fillId="33" borderId="0" xfId="0" applyFont="1" applyFill="1" applyBorder="1" applyAlignment="1" applyProtection="1">
      <protection locked="0"/>
    </xf>
    <xf numFmtId="170" fontId="12" fillId="33" borderId="0" xfId="0" applyNumberFormat="1" applyFont="1" applyFill="1" applyBorder="1" applyAlignment="1" applyProtection="1">
      <protection locked="0"/>
    </xf>
    <xf numFmtId="2" fontId="12" fillId="33" borderId="0" xfId="0" applyNumberFormat="1" applyFont="1" applyFill="1" applyBorder="1" applyAlignment="1" applyProtection="1">
      <protection locked="0"/>
    </xf>
    <xf numFmtId="49" fontId="12" fillId="33" borderId="0" xfId="0" applyNumberFormat="1" applyFont="1" applyFill="1" applyBorder="1" applyAlignment="1" applyProtection="1">
      <protection locked="0"/>
    </xf>
    <xf numFmtId="1" fontId="12" fillId="33" borderId="0" xfId="1" applyNumberFormat="1" applyFont="1" applyFill="1" applyAlignment="1">
      <alignment horizontal="center"/>
    </xf>
    <xf numFmtId="49" fontId="12" fillId="33" borderId="0" xfId="0" applyNumberFormat="1" applyFont="1" applyFill="1" applyBorder="1" applyAlignment="1" applyProtection="1">
      <alignment horizontal="center"/>
      <protection locked="0"/>
    </xf>
    <xf numFmtId="44" fontId="12" fillId="33" borderId="0" xfId="0" applyNumberFormat="1" applyFont="1" applyFill="1" applyBorder="1" applyAlignment="1" applyProtection="1">
      <protection locked="0"/>
    </xf>
    <xf numFmtId="1" fontId="12" fillId="33" borderId="0" xfId="0" applyNumberFormat="1" applyFont="1" applyFill="1" applyBorder="1" applyAlignment="1" applyProtection="1">
      <protection locked="0"/>
    </xf>
    <xf numFmtId="1" fontId="12" fillId="33" borderId="4" xfId="0" applyNumberFormat="1" applyFont="1" applyFill="1" applyBorder="1" applyAlignment="1" applyProtection="1">
      <protection locked="0"/>
    </xf>
    <xf numFmtId="2" fontId="12" fillId="33" borderId="3" xfId="0" applyNumberFormat="1" applyFont="1" applyFill="1" applyBorder="1" applyAlignment="1" applyProtection="1">
      <protection locked="0"/>
    </xf>
    <xf numFmtId="2" fontId="12" fillId="33" borderId="4" xfId="0" applyNumberFormat="1" applyFont="1" applyFill="1" applyBorder="1" applyAlignment="1" applyProtection="1">
      <protection locked="0"/>
    </xf>
    <xf numFmtId="0" fontId="12" fillId="33" borderId="0" xfId="0" applyFont="1" applyFill="1"/>
    <xf numFmtId="0" fontId="14" fillId="33" borderId="0" xfId="0" applyFont="1" applyFill="1" applyAlignment="1"/>
    <xf numFmtId="43" fontId="12" fillId="0" borderId="0" xfId="4613" applyFont="1" applyFill="1"/>
    <xf numFmtId="49" fontId="12" fillId="33" borderId="0" xfId="0" applyNumberFormat="1" applyFont="1" applyFill="1"/>
    <xf numFmtId="49" fontId="12" fillId="33" borderId="0" xfId="0" applyNumberFormat="1" applyFont="1" applyFill="1" applyAlignment="1">
      <alignment horizontal="center"/>
    </xf>
    <xf numFmtId="0" fontId="12" fillId="33" borderId="0" xfId="0" applyFont="1" applyFill="1" applyAlignment="1">
      <alignment horizontal="left"/>
    </xf>
    <xf numFmtId="1" fontId="12" fillId="33" borderId="0" xfId="0" applyNumberFormat="1" applyFont="1" applyFill="1" applyAlignment="1">
      <alignment horizontal="center" vertical="center"/>
    </xf>
    <xf numFmtId="0" fontId="12" fillId="33" borderId="0" xfId="0" applyFont="1" applyFill="1" applyBorder="1"/>
    <xf numFmtId="2" fontId="12" fillId="0" borderId="0" xfId="0" applyNumberFormat="1" applyFont="1" applyFill="1" applyAlignment="1">
      <alignment horizontal="center"/>
    </xf>
    <xf numFmtId="1" fontId="32" fillId="34" borderId="0" xfId="0" applyNumberFormat="1" applyFont="1" applyFill="1" applyAlignment="1">
      <alignment horizontal="center" vertical="center"/>
    </xf>
    <xf numFmtId="1" fontId="12" fillId="33" borderId="0" xfId="0" applyNumberFormat="1" applyFont="1" applyFill="1" applyAlignment="1">
      <alignment horizontal="center"/>
    </xf>
    <xf numFmtId="0" fontId="12" fillId="33" borderId="0" xfId="0" applyFont="1" applyFill="1" applyAlignment="1">
      <alignment vertical="center"/>
    </xf>
    <xf numFmtId="1" fontId="12" fillId="33" borderId="0" xfId="0" applyNumberFormat="1" applyFont="1" applyFill="1" applyBorder="1" applyAlignment="1" applyProtection="1">
      <alignment horizontal="center"/>
      <protection locked="0"/>
    </xf>
    <xf numFmtId="0" fontId="12" fillId="33" borderId="0" xfId="0" applyFont="1" applyFill="1" applyBorder="1" applyAlignment="1" applyProtection="1">
      <alignment horizontal="center"/>
      <protection locked="0"/>
    </xf>
    <xf numFmtId="49" fontId="12" fillId="33" borderId="0" xfId="0" applyNumberFormat="1" applyFont="1" applyFill="1" applyBorder="1"/>
    <xf numFmtId="0" fontId="12" fillId="33" borderId="0" xfId="0" applyNumberFormat="1" applyFont="1" applyFill="1"/>
    <xf numFmtId="2" fontId="12" fillId="33" borderId="3" xfId="0" applyNumberFormat="1" applyFont="1" applyFill="1" applyBorder="1" applyProtection="1">
      <protection locked="0"/>
    </xf>
    <xf numFmtId="2" fontId="12" fillId="33" borderId="0" xfId="0" applyNumberFormat="1" applyFont="1" applyFill="1" applyBorder="1" applyProtection="1">
      <protection locked="0"/>
    </xf>
    <xf numFmtId="2" fontId="12" fillId="33" borderId="4" xfId="0" applyNumberFormat="1" applyFont="1" applyFill="1" applyBorder="1" applyProtection="1">
      <protection locked="0"/>
    </xf>
    <xf numFmtId="0" fontId="14" fillId="33" borderId="0" xfId="0" applyFont="1" applyFill="1"/>
    <xf numFmtId="0" fontId="40" fillId="33" borderId="0" xfId="0" applyFont="1" applyFill="1"/>
    <xf numFmtId="0" fontId="12" fillId="28" borderId="0" xfId="0" applyFont="1" applyFill="1"/>
    <xf numFmtId="2" fontId="12" fillId="0" borderId="3" xfId="0" applyNumberFormat="1" applyFont="1" applyBorder="1"/>
    <xf numFmtId="2" fontId="12" fillId="0" borderId="4" xfId="0" applyNumberFormat="1" applyFont="1" applyFill="1" applyBorder="1" applyAlignment="1" applyProtection="1">
      <alignment horizontal="center"/>
      <protection locked="0"/>
    </xf>
    <xf numFmtId="0" fontId="12" fillId="0" borderId="3" xfId="0" applyFont="1" applyBorder="1"/>
    <xf numFmtId="0" fontId="45" fillId="2" borderId="16" xfId="0" applyNumberFormat="1" applyFont="1" applyFill="1" applyBorder="1" applyAlignment="1" applyProtection="1">
      <alignment horizontal="center" wrapText="1"/>
      <protection locked="0"/>
    </xf>
    <xf numFmtId="49" fontId="12" fillId="34" borderId="0" xfId="0" applyNumberFormat="1" applyFont="1" applyFill="1" applyBorder="1" applyAlignment="1" applyProtection="1">
      <alignment horizontal="center"/>
      <protection locked="0"/>
    </xf>
    <xf numFmtId="1" fontId="12" fillId="34" borderId="0" xfId="0" applyNumberFormat="1" applyFont="1" applyFill="1" applyAlignment="1">
      <alignment horizontal="center"/>
    </xf>
    <xf numFmtId="0" fontId="12" fillId="34" borderId="0" xfId="0" applyFont="1" applyFill="1" applyAlignment="1">
      <alignment horizontal="center"/>
    </xf>
    <xf numFmtId="170" fontId="12" fillId="34" borderId="0" xfId="0" applyNumberFormat="1" applyFont="1" applyFill="1" applyBorder="1" applyAlignment="1" applyProtection="1">
      <protection locked="0"/>
    </xf>
    <xf numFmtId="2" fontId="12" fillId="34" borderId="0" xfId="0" applyNumberFormat="1" applyFont="1" applyFill="1" applyBorder="1" applyAlignment="1" applyProtection="1">
      <protection locked="0"/>
    </xf>
    <xf numFmtId="1" fontId="12" fillId="34" borderId="0" xfId="1" applyNumberFormat="1" applyFont="1" applyFill="1" applyAlignment="1">
      <alignment horizontal="center"/>
    </xf>
    <xf numFmtId="1" fontId="12" fillId="34" borderId="0" xfId="0" applyNumberFormat="1" applyFont="1" applyFill="1" applyBorder="1" applyAlignment="1" applyProtection="1">
      <alignment horizontal="center" vertical="center"/>
      <protection locked="0"/>
    </xf>
    <xf numFmtId="1" fontId="12" fillId="34" borderId="0" xfId="0" applyNumberFormat="1" applyFont="1" applyFill="1" applyBorder="1" applyAlignment="1" applyProtection="1">
      <alignment horizontal="center"/>
      <protection locked="0"/>
    </xf>
    <xf numFmtId="1" fontId="32" fillId="0" borderId="4" xfId="0" applyNumberFormat="1" applyFont="1" applyFill="1" applyBorder="1" applyAlignment="1">
      <alignment horizontal="center" vertical="center"/>
    </xf>
    <xf numFmtId="1" fontId="32" fillId="0" borderId="3" xfId="0" applyNumberFormat="1" applyFont="1" applyFill="1" applyBorder="1" applyAlignment="1">
      <alignment horizontal="center" vertical="center"/>
    </xf>
    <xf numFmtId="0" fontId="32" fillId="0" borderId="0" xfId="0" applyFont="1" applyAlignment="1">
      <alignment horizontal="left" indent="2"/>
    </xf>
    <xf numFmtId="0" fontId="13" fillId="0" borderId="0" xfId="0" applyFont="1" applyFill="1" applyAlignment="1"/>
    <xf numFmtId="0" fontId="13" fillId="0" borderId="0" xfId="0" applyFont="1" applyFill="1" applyBorder="1" applyAlignment="1" applyProtection="1">
      <alignment horizontal="left"/>
      <protection locked="0"/>
    </xf>
    <xf numFmtId="0" fontId="50" fillId="0" borderId="0" xfId="0" applyFont="1" applyBorder="1" applyAlignment="1" applyProtection="1">
      <protection locked="0"/>
    </xf>
    <xf numFmtId="0" fontId="12" fillId="27" borderId="0" xfId="0" applyNumberFormat="1" applyFont="1" applyFill="1" applyAlignment="1"/>
    <xf numFmtId="0" fontId="71" fillId="0" borderId="0" xfId="0" quotePrefix="1" applyFont="1" applyFill="1" applyAlignment="1">
      <alignment horizontal="center" vertical="center"/>
    </xf>
    <xf numFmtId="0" fontId="66" fillId="0" borderId="0" xfId="0" quotePrefix="1" applyFont="1" applyFill="1" applyAlignment="1">
      <alignment horizontal="center" vertical="center"/>
    </xf>
    <xf numFmtId="0" fontId="37" fillId="0" borderId="3" xfId="0" applyFont="1" applyBorder="1" applyAlignment="1" applyProtection="1">
      <protection locked="0"/>
    </xf>
    <xf numFmtId="2" fontId="37" fillId="0" borderId="3" xfId="0" applyNumberFormat="1" applyFont="1" applyFill="1" applyBorder="1" applyAlignment="1" applyProtection="1">
      <protection locked="0"/>
    </xf>
    <xf numFmtId="2" fontId="66" fillId="0" borderId="3" xfId="0" applyNumberFormat="1" applyFont="1" applyFill="1" applyBorder="1" applyAlignment="1" applyProtection="1">
      <protection locked="0"/>
    </xf>
    <xf numFmtId="0" fontId="0" fillId="0" borderId="14" xfId="0" applyBorder="1"/>
    <xf numFmtId="2" fontId="37" fillId="0" borderId="3" xfId="0" applyNumberFormat="1" applyFont="1" applyBorder="1" applyAlignment="1" applyProtection="1">
      <protection locked="0"/>
    </xf>
    <xf numFmtId="0" fontId="12" fillId="33" borderId="0" xfId="0" applyFont="1" applyFill="1" applyAlignment="1">
      <alignment vertical="top"/>
    </xf>
    <xf numFmtId="49" fontId="12" fillId="33" borderId="0" xfId="0" applyNumberFormat="1" applyFont="1" applyFill="1" applyAlignment="1">
      <alignment horizontal="center" vertical="top"/>
    </xf>
    <xf numFmtId="0" fontId="12" fillId="33" borderId="0" xfId="0" applyFont="1" applyFill="1" applyBorder="1" applyAlignment="1">
      <alignment horizontal="center" vertical="center"/>
    </xf>
    <xf numFmtId="44" fontId="12" fillId="33" borderId="0" xfId="0" applyNumberFormat="1" applyFont="1" applyFill="1" applyAlignment="1">
      <alignment vertical="top"/>
    </xf>
    <xf numFmtId="2" fontId="12" fillId="33" borderId="0" xfId="0" quotePrefix="1" applyNumberFormat="1" applyFont="1" applyFill="1" applyBorder="1" applyAlignment="1" applyProtection="1">
      <protection locked="0"/>
    </xf>
    <xf numFmtId="2" fontId="12" fillId="33" borderId="4" xfId="0" quotePrefix="1" applyNumberFormat="1" applyFont="1" applyFill="1" applyBorder="1" applyAlignment="1" applyProtection="1">
      <protection locked="0"/>
    </xf>
    <xf numFmtId="0" fontId="12" fillId="33" borderId="0" xfId="0" applyFont="1" applyFill="1" applyBorder="1" applyAlignment="1">
      <alignment vertical="top"/>
    </xf>
    <xf numFmtId="0" fontId="12" fillId="33" borderId="0" xfId="0" applyFont="1" applyFill="1" applyBorder="1" applyAlignment="1"/>
    <xf numFmtId="0" fontId="45" fillId="35" borderId="15" xfId="0" applyNumberFormat="1" applyFont="1" applyFill="1" applyBorder="1" applyAlignment="1" applyProtection="1">
      <alignment wrapText="1"/>
      <protection locked="0"/>
    </xf>
    <xf numFmtId="0" fontId="45" fillId="35" borderId="16" xfId="0" applyFont="1" applyFill="1" applyBorder="1" applyAlignment="1">
      <alignment wrapText="1"/>
    </xf>
    <xf numFmtId="0" fontId="45" fillId="35" borderId="16" xfId="0" applyNumberFormat="1" applyFont="1" applyFill="1" applyBorder="1" applyAlignment="1" applyProtection="1">
      <alignment wrapText="1"/>
      <protection locked="0"/>
    </xf>
    <xf numFmtId="0" fontId="45" fillId="35" borderId="16" xfId="0" applyNumberFormat="1" applyFont="1" applyFill="1" applyBorder="1" applyAlignment="1" applyProtection="1">
      <alignment horizontal="center" wrapText="1"/>
      <protection locked="0"/>
    </xf>
    <xf numFmtId="49" fontId="45" fillId="35" borderId="16" xfId="0" applyNumberFormat="1" applyFont="1" applyFill="1" applyBorder="1" applyAlignment="1" applyProtection="1">
      <alignment horizontal="center" wrapText="1"/>
      <protection locked="0"/>
    </xf>
    <xf numFmtId="2" fontId="45" fillId="35" borderId="16" xfId="0" applyNumberFormat="1" applyFont="1" applyFill="1" applyBorder="1" applyAlignment="1" applyProtection="1">
      <alignment wrapText="1"/>
      <protection locked="0"/>
    </xf>
    <xf numFmtId="0" fontId="45" fillId="35" borderId="17" xfId="0" applyNumberFormat="1" applyFont="1" applyFill="1" applyBorder="1" applyAlignment="1" applyProtection="1">
      <alignment wrapText="1"/>
      <protection locked="0"/>
    </xf>
    <xf numFmtId="2" fontId="12" fillId="0" borderId="14" xfId="0" applyNumberFormat="1" applyFont="1" applyFill="1" applyBorder="1"/>
    <xf numFmtId="0" fontId="0" fillId="0" borderId="14" xfId="0" applyFill="1" applyBorder="1"/>
    <xf numFmtId="170" fontId="12" fillId="0" borderId="0" xfId="0" applyNumberFormat="1" applyFont="1"/>
    <xf numFmtId="44" fontId="12" fillId="27" borderId="0" xfId="0" applyNumberFormat="1" applyFont="1" applyFill="1" applyAlignment="1">
      <alignment vertical="top"/>
    </xf>
    <xf numFmtId="0" fontId="12" fillId="27" borderId="0" xfId="0" applyFont="1" applyFill="1" applyAlignment="1">
      <alignment vertical="top"/>
    </xf>
    <xf numFmtId="0" fontId="13" fillId="0" borderId="0" xfId="0" applyFont="1" applyBorder="1" applyAlignment="1" applyProtection="1">
      <alignment horizontal="left"/>
      <protection locked="0"/>
    </xf>
    <xf numFmtId="0" fontId="12" fillId="0" borderId="0" xfId="0" applyFont="1" applyFill="1" applyAlignment="1">
      <alignment wrapText="1"/>
    </xf>
    <xf numFmtId="0" fontId="45" fillId="29" borderId="15" xfId="0" applyNumberFormat="1" applyFont="1" applyFill="1" applyBorder="1" applyAlignment="1" applyProtection="1">
      <alignment wrapText="1"/>
      <protection locked="0"/>
    </xf>
    <xf numFmtId="0" fontId="45" fillId="29" borderId="16" xfId="0" applyNumberFormat="1" applyFont="1" applyFill="1" applyBorder="1" applyAlignment="1" applyProtection="1">
      <alignment wrapText="1"/>
      <protection locked="0"/>
    </xf>
    <xf numFmtId="0" fontId="45" fillId="29" borderId="16" xfId="0" applyNumberFormat="1" applyFont="1" applyFill="1" applyBorder="1" applyAlignment="1" applyProtection="1">
      <alignment horizontal="center" wrapText="1"/>
      <protection locked="0"/>
    </xf>
    <xf numFmtId="0" fontId="45" fillId="29" borderId="17" xfId="0" applyNumberFormat="1" applyFont="1" applyFill="1" applyBorder="1" applyAlignment="1" applyProtection="1">
      <alignment wrapText="1"/>
      <protection locked="0"/>
    </xf>
    <xf numFmtId="49" fontId="12" fillId="27" borderId="0" xfId="0" applyNumberFormat="1" applyFont="1" applyFill="1" applyAlignment="1">
      <alignment horizontal="center" vertical="top"/>
    </xf>
    <xf numFmtId="0" fontId="45" fillId="0" borderId="14" xfId="0" applyFont="1" applyFill="1" applyBorder="1" applyAlignment="1" applyProtection="1">
      <alignment wrapText="1"/>
      <protection locked="0"/>
    </xf>
    <xf numFmtId="0" fontId="45" fillId="0" borderId="14" xfId="0" applyFont="1" applyFill="1" applyBorder="1" applyAlignment="1">
      <alignment wrapText="1"/>
    </xf>
    <xf numFmtId="2" fontId="45" fillId="0" borderId="14" xfId="0" applyNumberFormat="1" applyFont="1" applyFill="1" applyBorder="1" applyAlignment="1" applyProtection="1">
      <alignment wrapText="1"/>
      <protection locked="0"/>
    </xf>
    <xf numFmtId="49" fontId="45" fillId="0" borderId="14" xfId="0" applyNumberFormat="1" applyFont="1" applyFill="1" applyBorder="1" applyAlignment="1" applyProtection="1">
      <alignment wrapText="1"/>
      <protection locked="0"/>
    </xf>
    <xf numFmtId="49" fontId="45" fillId="0" borderId="14" xfId="0" applyNumberFormat="1" applyFont="1" applyFill="1" applyBorder="1" applyAlignment="1" applyProtection="1">
      <alignment horizontal="left" wrapText="1"/>
      <protection locked="0"/>
    </xf>
    <xf numFmtId="44" fontId="45" fillId="0" borderId="14" xfId="0" applyNumberFormat="1" applyFont="1" applyFill="1" applyBorder="1" applyAlignment="1" applyProtection="1">
      <alignment wrapText="1"/>
      <protection locked="0"/>
    </xf>
    <xf numFmtId="1" fontId="45" fillId="0" borderId="14" xfId="0" applyNumberFormat="1" applyFont="1" applyFill="1" applyBorder="1" applyAlignment="1" applyProtection="1">
      <alignment wrapText="1"/>
      <protection locked="0"/>
    </xf>
    <xf numFmtId="0" fontId="45" fillId="29" borderId="16" xfId="0" applyNumberFormat="1" applyFont="1" applyFill="1" applyBorder="1" applyAlignment="1" applyProtection="1">
      <alignment horizontal="left" wrapText="1"/>
      <protection locked="0"/>
    </xf>
    <xf numFmtId="0" fontId="45" fillId="29" borderId="15" xfId="0" applyNumberFormat="1" applyFont="1" applyFill="1" applyBorder="1" applyAlignment="1" applyProtection="1">
      <alignment horizontal="left" wrapText="1"/>
      <protection locked="0"/>
    </xf>
    <xf numFmtId="0" fontId="45" fillId="29" borderId="17" xfId="0" applyNumberFormat="1" applyFont="1" applyFill="1" applyBorder="1" applyAlignment="1" applyProtection="1">
      <alignment horizontal="left" wrapText="1"/>
      <protection locked="0"/>
    </xf>
    <xf numFmtId="49" fontId="12" fillId="34" borderId="0" xfId="0" applyNumberFormat="1" applyFont="1" applyFill="1" applyAlignment="1">
      <alignment horizontal="center" vertical="top"/>
    </xf>
    <xf numFmtId="0" fontId="12" fillId="0" borderId="0" xfId="2" applyFont="1" applyFill="1" applyAlignment="1"/>
    <xf numFmtId="0" fontId="12" fillId="32" borderId="0" xfId="0" applyFont="1" applyFill="1" applyAlignment="1">
      <alignment vertical="top"/>
    </xf>
    <xf numFmtId="1" fontId="45" fillId="2" borderId="17" xfId="0" applyNumberFormat="1" applyFont="1" applyFill="1" applyBorder="1" applyAlignment="1" applyProtection="1">
      <alignment wrapText="1"/>
      <protection locked="0"/>
    </xf>
    <xf numFmtId="0" fontId="12" fillId="27" borderId="3" xfId="0" applyFont="1" applyFill="1" applyBorder="1"/>
    <xf numFmtId="2" fontId="12" fillId="27" borderId="3" xfId="0" applyNumberFormat="1" applyFont="1" applyFill="1" applyBorder="1" applyAlignment="1" applyProtection="1">
      <alignment horizontal="right"/>
      <protection locked="0"/>
    </xf>
    <xf numFmtId="2" fontId="12" fillId="0" borderId="3" xfId="0" applyNumberFormat="1" applyFont="1" applyBorder="1" applyAlignment="1" applyProtection="1">
      <alignment horizontal="center"/>
      <protection locked="0"/>
    </xf>
    <xf numFmtId="0" fontId="12" fillId="33" borderId="0" xfId="0" applyFont="1" applyFill="1" applyAlignment="1">
      <alignment horizontal="left" vertical="center" wrapText="1"/>
    </xf>
    <xf numFmtId="1" fontId="16" fillId="33" borderId="0" xfId="0" applyNumberFormat="1" applyFont="1" applyFill="1" applyAlignment="1">
      <alignment horizontal="center" vertical="center"/>
    </xf>
    <xf numFmtId="0" fontId="12" fillId="33" borderId="0" xfId="0" applyFont="1" applyFill="1" applyAlignment="1">
      <alignment horizontal="center"/>
    </xf>
    <xf numFmtId="44" fontId="12" fillId="33" borderId="0" xfId="0" applyNumberFormat="1" applyFont="1" applyFill="1"/>
    <xf numFmtId="0" fontId="12" fillId="33" borderId="4" xfId="0" applyFont="1" applyFill="1" applyBorder="1"/>
    <xf numFmtId="2" fontId="12" fillId="33" borderId="0" xfId="0" applyNumberFormat="1" applyFont="1" applyFill="1"/>
    <xf numFmtId="2" fontId="12" fillId="33" borderId="4" xfId="0" applyNumberFormat="1" applyFont="1" applyFill="1" applyBorder="1"/>
    <xf numFmtId="0" fontId="12" fillId="33" borderId="0" xfId="0" quotePrefix="1" applyFont="1" applyFill="1" applyAlignment="1">
      <alignment horizontal="center" vertical="center"/>
    </xf>
    <xf numFmtId="0" fontId="12" fillId="33" borderId="0" xfId="0" applyFont="1" applyFill="1" applyBorder="1" applyAlignment="1" applyProtection="1">
      <alignment wrapText="1"/>
      <protection locked="0"/>
    </xf>
    <xf numFmtId="170" fontId="50" fillId="33" borderId="0" xfId="0" applyNumberFormat="1" applyFont="1" applyFill="1" applyBorder="1" applyAlignment="1" applyProtection="1">
      <protection locked="0"/>
    </xf>
    <xf numFmtId="0" fontId="13" fillId="0" borderId="0" xfId="0" applyFont="1" applyFill="1" applyBorder="1" applyAlignment="1" applyProtection="1">
      <alignment horizontal="left"/>
      <protection locked="0"/>
    </xf>
    <xf numFmtId="0" fontId="50" fillId="0" borderId="0" xfId="0" applyFont="1" applyBorder="1" applyAlignment="1" applyProtection="1">
      <protection locked="0"/>
    </xf>
    <xf numFmtId="0" fontId="12" fillId="0" borderId="0" xfId="0" applyFont="1" applyAlignment="1"/>
    <xf numFmtId="0" fontId="32" fillId="33" borderId="0" xfId="9135" applyFont="1" applyFill="1" applyBorder="1"/>
    <xf numFmtId="49" fontId="32" fillId="33" borderId="0" xfId="9135" applyNumberFormat="1" applyFont="1" applyFill="1" applyBorder="1" applyAlignment="1">
      <alignment horizontal="center" vertical="center"/>
    </xf>
    <xf numFmtId="0" fontId="32" fillId="33" borderId="4" xfId="9135" applyFont="1" applyFill="1" applyBorder="1"/>
    <xf numFmtId="2" fontId="12" fillId="33" borderId="3" xfId="0" quotePrefix="1" applyNumberFormat="1" applyFont="1" applyFill="1" applyBorder="1" applyAlignment="1" applyProtection="1">
      <protection locked="0"/>
    </xf>
    <xf numFmtId="0" fontId="42" fillId="33" borderId="0" xfId="0" applyFont="1" applyFill="1"/>
    <xf numFmtId="49" fontId="12" fillId="33" borderId="0" xfId="0" applyNumberFormat="1" applyFont="1" applyFill="1" applyAlignment="1">
      <alignment horizontal="center" vertical="center"/>
    </xf>
    <xf numFmtId="0" fontId="13" fillId="0" borderId="0" xfId="0" applyFont="1" applyFill="1" applyBorder="1" applyAlignment="1" applyProtection="1">
      <alignment horizontal="left"/>
      <protection locked="0"/>
    </xf>
    <xf numFmtId="0" fontId="50" fillId="0" borderId="0" xfId="0" applyFont="1" applyBorder="1" applyAlignment="1" applyProtection="1">
      <protection locked="0"/>
    </xf>
    <xf numFmtId="0" fontId="32" fillId="0" borderId="0" xfId="9135" applyFont="1" applyFill="1" applyBorder="1" applyAlignment="1">
      <alignment vertical="top"/>
    </xf>
    <xf numFmtId="49" fontId="45" fillId="2" borderId="16" xfId="0" applyNumberFormat="1" applyFont="1" applyFill="1" applyBorder="1" applyAlignment="1" applyProtection="1">
      <alignment horizontal="center" wrapText="1"/>
      <protection locked="0"/>
    </xf>
    <xf numFmtId="0" fontId="45" fillId="2" borderId="15" xfId="0" applyNumberFormat="1" applyFont="1" applyFill="1" applyBorder="1" applyAlignment="1" applyProtection="1">
      <alignment wrapText="1"/>
      <protection locked="0"/>
    </xf>
    <xf numFmtId="0" fontId="45" fillId="2" borderId="16" xfId="0" applyNumberFormat="1" applyFont="1" applyFill="1" applyBorder="1" applyAlignment="1" applyProtection="1">
      <alignment wrapText="1"/>
      <protection locked="0"/>
    </xf>
    <xf numFmtId="0" fontId="45" fillId="3" borderId="16" xfId="0" applyNumberFormat="1" applyFont="1" applyFill="1" applyBorder="1" applyAlignment="1" applyProtection="1">
      <alignment wrapText="1"/>
      <protection locked="0"/>
    </xf>
    <xf numFmtId="0" fontId="45" fillId="4" borderId="16" xfId="0" applyNumberFormat="1" applyFont="1" applyFill="1" applyBorder="1" applyAlignment="1" applyProtection="1">
      <alignment wrapText="1"/>
      <protection locked="0"/>
    </xf>
    <xf numFmtId="0" fontId="45" fillId="4" borderId="16" xfId="0" applyNumberFormat="1" applyFont="1" applyFill="1" applyBorder="1" applyAlignment="1" applyProtection="1">
      <protection locked="0"/>
    </xf>
    <xf numFmtId="0" fontId="45" fillId="4" borderId="17" xfId="0" applyNumberFormat="1" applyFont="1" applyFill="1" applyBorder="1" applyAlignment="1" applyProtection="1">
      <alignment wrapText="1"/>
      <protection locked="0"/>
    </xf>
    <xf numFmtId="0" fontId="45" fillId="2" borderId="17" xfId="0" applyNumberFormat="1" applyFont="1" applyFill="1" applyBorder="1" applyAlignment="1" applyProtection="1">
      <alignment wrapText="1"/>
      <protection locked="0"/>
    </xf>
    <xf numFmtId="2" fontId="44" fillId="0" borderId="3" xfId="0" applyNumberFormat="1" applyFont="1" applyFill="1" applyBorder="1" applyAlignment="1" applyProtection="1">
      <protection locked="0"/>
    </xf>
    <xf numFmtId="2" fontId="11" fillId="0" borderId="0" xfId="0" applyNumberFormat="1" applyFont="1" applyFill="1" applyBorder="1"/>
    <xf numFmtId="0" fontId="12" fillId="27" borderId="3" xfId="0" applyFont="1" applyFill="1" applyBorder="1" applyAlignment="1" applyProtection="1">
      <protection locked="0"/>
    </xf>
    <xf numFmtId="0" fontId="0" fillId="30" borderId="3" xfId="0" applyFill="1" applyBorder="1"/>
    <xf numFmtId="168" fontId="12" fillId="27" borderId="4" xfId="4613" applyNumberFormat="1" applyFont="1" applyFill="1" applyBorder="1"/>
    <xf numFmtId="0" fontId="64" fillId="29" borderId="16" xfId="0" applyNumberFormat="1" applyFont="1" applyFill="1" applyBorder="1" applyAlignment="1" applyProtection="1">
      <alignment wrapText="1"/>
      <protection locked="0"/>
    </xf>
    <xf numFmtId="172" fontId="12" fillId="0" borderId="0" xfId="0" applyNumberFormat="1" applyFont="1" applyFill="1" applyBorder="1" applyAlignment="1" applyProtection="1">
      <protection locked="0"/>
    </xf>
    <xf numFmtId="172" fontId="12" fillId="0" borderId="4" xfId="0" applyNumberFormat="1" applyFont="1" applyFill="1" applyBorder="1" applyAlignment="1" applyProtection="1">
      <protection locked="0"/>
    </xf>
    <xf numFmtId="172" fontId="12" fillId="33" borderId="0" xfId="0" applyNumberFormat="1" applyFont="1" applyFill="1" applyBorder="1" applyAlignment="1" applyProtection="1">
      <protection locked="0"/>
    </xf>
    <xf numFmtId="172" fontId="12" fillId="33" borderId="4" xfId="0" applyNumberFormat="1" applyFont="1" applyFill="1" applyBorder="1" applyAlignment="1" applyProtection="1">
      <protection locked="0"/>
    </xf>
    <xf numFmtId="0" fontId="32" fillId="0" borderId="4" xfId="9135" applyFont="1" applyFill="1" applyBorder="1" applyAlignment="1">
      <alignment vertical="top"/>
    </xf>
    <xf numFmtId="1" fontId="16" fillId="0" borderId="0" xfId="0" applyNumberFormat="1" applyFont="1" applyFill="1" applyAlignment="1">
      <alignment horizontal="center"/>
    </xf>
    <xf numFmtId="172" fontId="12" fillId="27" borderId="0" xfId="0" applyNumberFormat="1" applyFont="1" applyFill="1" applyBorder="1" applyAlignment="1" applyProtection="1">
      <protection locked="0"/>
    </xf>
    <xf numFmtId="172" fontId="12" fillId="27" borderId="4" xfId="0" applyNumberFormat="1" applyFont="1" applyFill="1" applyBorder="1" applyAlignment="1" applyProtection="1">
      <protection locked="0"/>
    </xf>
    <xf numFmtId="0" fontId="13" fillId="0" borderId="0" xfId="0" applyFont="1" applyFill="1" applyBorder="1" applyAlignment="1" applyProtection="1">
      <alignment horizontal="left"/>
      <protection locked="0"/>
    </xf>
    <xf numFmtId="0" fontId="12" fillId="0" borderId="0" xfId="0" applyFont="1" applyFill="1" applyBorder="1" applyAlignment="1">
      <alignment horizontal="left" vertical="center"/>
    </xf>
    <xf numFmtId="49" fontId="12" fillId="0" borderId="0" xfId="0" applyNumberFormat="1"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wrapText="1"/>
    </xf>
    <xf numFmtId="0" fontId="12" fillId="0" borderId="0" xfId="9135" applyFont="1" applyFill="1" applyBorder="1"/>
    <xf numFmtId="0" fontId="12" fillId="0" borderId="4" xfId="9135" applyFont="1" applyFill="1" applyBorder="1"/>
    <xf numFmtId="1" fontId="12" fillId="0" borderId="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wrapText="1"/>
    </xf>
    <xf numFmtId="1" fontId="32" fillId="0" borderId="0" xfId="9135" applyNumberFormat="1" applyFont="1" applyFill="1" applyBorder="1" applyAlignment="1">
      <alignment horizontal="center"/>
    </xf>
    <xf numFmtId="0" fontId="64" fillId="29" borderId="17" xfId="0" applyNumberFormat="1" applyFont="1" applyFill="1" applyBorder="1" applyAlignment="1" applyProtection="1">
      <alignment wrapText="1"/>
      <protection locked="0"/>
    </xf>
    <xf numFmtId="0" fontId="16" fillId="0" borderId="0" xfId="0" applyFont="1" applyAlignment="1">
      <alignment horizontal="left" vertical="center"/>
    </xf>
    <xf numFmtId="0" fontId="42" fillId="27" borderId="0" xfId="0" applyFont="1" applyFill="1"/>
    <xf numFmtId="0" fontId="16" fillId="27" borderId="0" xfId="0" applyFont="1" applyFill="1"/>
    <xf numFmtId="0" fontId="46" fillId="27" borderId="0" xfId="0" applyFont="1" applyFill="1"/>
    <xf numFmtId="0" fontId="12" fillId="27" borderId="0" xfId="0" applyFont="1" applyFill="1" applyAlignment="1">
      <alignment vertical="center"/>
    </xf>
    <xf numFmtId="0" fontId="12" fillId="27" borderId="0" xfId="0" applyFont="1" applyFill="1" applyAlignment="1">
      <alignment horizontal="left" vertical="center"/>
    </xf>
    <xf numFmtId="0" fontId="32" fillId="27" borderId="0" xfId="9135" applyFont="1" applyFill="1" applyBorder="1"/>
    <xf numFmtId="0" fontId="47" fillId="0" borderId="0" xfId="0" applyFont="1" applyFill="1" applyAlignment="1">
      <alignment horizontal="left" vertical="center" wrapText="1"/>
    </xf>
    <xf numFmtId="0" fontId="12" fillId="0" borderId="0" xfId="0" applyFont="1" applyFill="1" applyAlignment="1">
      <alignment horizontal="left" vertical="top" wrapText="1"/>
    </xf>
    <xf numFmtId="0" fontId="46" fillId="0" borderId="0" xfId="0" applyFont="1" applyFill="1"/>
    <xf numFmtId="0" fontId="32" fillId="0" borderId="0" xfId="9135" applyFont="1" applyFill="1" applyBorder="1" applyAlignment="1"/>
    <xf numFmtId="0" fontId="42" fillId="0" borderId="0" xfId="0" applyFont="1" applyFill="1" applyBorder="1"/>
    <xf numFmtId="0" fontId="42" fillId="27" borderId="0" xfId="0" applyFont="1" applyFill="1" applyAlignment="1"/>
    <xf numFmtId="0" fontId="42" fillId="0" borderId="0" xfId="0" applyFont="1" applyFill="1" applyAlignment="1"/>
    <xf numFmtId="0" fontId="46" fillId="0" borderId="0" xfId="0" applyFont="1" applyFill="1" applyAlignment="1"/>
    <xf numFmtId="1" fontId="12" fillId="36" borderId="4" xfId="0" applyNumberFormat="1" applyFont="1" applyFill="1" applyBorder="1" applyAlignment="1" applyProtection="1">
      <protection locked="0"/>
    </xf>
    <xf numFmtId="1" fontId="71" fillId="0" borderId="0" xfId="0" quotePrefix="1" applyNumberFormat="1" applyFont="1" applyFill="1" applyAlignment="1">
      <alignment horizontal="center" vertical="center"/>
    </xf>
    <xf numFmtId="2" fontId="12" fillId="33" borderId="0" xfId="0" quotePrefix="1" applyNumberFormat="1" applyFont="1" applyFill="1" applyAlignment="1">
      <alignment horizontal="center" vertical="center"/>
    </xf>
    <xf numFmtId="49" fontId="12" fillId="33" borderId="0" xfId="0" applyNumberFormat="1" applyFont="1" applyFill="1" applyBorder="1" applyAlignment="1" applyProtection="1">
      <alignment horizontal="left"/>
      <protection locked="0"/>
    </xf>
    <xf numFmtId="0" fontId="12" fillId="33" borderId="0" xfId="0" applyNumberFormat="1" applyFont="1" applyFill="1" applyBorder="1" applyAlignment="1" applyProtection="1">
      <protection locked="0"/>
    </xf>
    <xf numFmtId="0" fontId="12" fillId="33" borderId="0" xfId="0" applyNumberFormat="1" applyFont="1" applyFill="1" applyAlignment="1"/>
    <xf numFmtId="49" fontId="12" fillId="33" borderId="0" xfId="2" applyNumberFormat="1" applyFont="1" applyFill="1" applyAlignment="1">
      <alignment horizontal="center"/>
    </xf>
    <xf numFmtId="0" fontId="42" fillId="33" borderId="0" xfId="0" applyNumberFormat="1" applyFont="1" applyFill="1" applyAlignment="1"/>
    <xf numFmtId="0" fontId="12" fillId="27" borderId="0" xfId="0" applyFont="1" applyFill="1" applyAlignment="1">
      <alignment horizontal="left"/>
    </xf>
    <xf numFmtId="0" fontId="12" fillId="0" borderId="0" xfId="0" quotePrefix="1" applyFont="1" applyFill="1" applyAlignment="1">
      <alignment horizontal="center" vertical="center"/>
    </xf>
    <xf numFmtId="168" fontId="12" fillId="0" borderId="0" xfId="4613" applyNumberFormat="1" applyFont="1" applyFill="1"/>
    <xf numFmtId="168" fontId="12" fillId="0" borderId="4" xfId="4613" applyNumberFormat="1" applyFont="1" applyFill="1" applyBorder="1"/>
    <xf numFmtId="0" fontId="12" fillId="0" borderId="0" xfId="0" applyFont="1" applyFill="1" applyBorder="1" applyAlignment="1" applyProtection="1">
      <alignment vertical="top"/>
      <protection locked="0"/>
    </xf>
    <xf numFmtId="1" fontId="32" fillId="33" borderId="0" xfId="9135" applyNumberFormat="1" applyFont="1" applyFill="1" applyBorder="1" applyAlignment="1">
      <alignment horizontal="center" vertical="center"/>
    </xf>
    <xf numFmtId="0" fontId="12" fillId="33" borderId="0" xfId="0" applyFont="1" applyFill="1" applyBorder="1" applyAlignment="1" applyProtection="1">
      <alignment vertical="top" wrapText="1"/>
      <protection locked="0"/>
    </xf>
    <xf numFmtId="0" fontId="16" fillId="33" borderId="0" xfId="0" applyFont="1" applyFill="1"/>
    <xf numFmtId="0" fontId="16" fillId="33" borderId="0" xfId="0" applyFont="1" applyFill="1" applyAlignment="1">
      <alignment vertical="center"/>
    </xf>
    <xf numFmtId="2" fontId="12" fillId="33" borderId="3" xfId="0" applyNumberFormat="1" applyFont="1" applyFill="1" applyBorder="1"/>
    <xf numFmtId="0" fontId="12" fillId="33" borderId="0" xfId="0" applyFont="1" applyFill="1" applyAlignment="1">
      <alignment horizontal="left" vertical="center"/>
    </xf>
    <xf numFmtId="14" fontId="12" fillId="28" borderId="0" xfId="0" applyNumberFormat="1" applyFont="1" applyFill="1"/>
    <xf numFmtId="8" fontId="12" fillId="0" borderId="0" xfId="0" applyNumberFormat="1" applyFont="1" applyFill="1"/>
    <xf numFmtId="2" fontId="12" fillId="32" borderId="3" xfId="0" applyNumberFormat="1" applyFont="1" applyFill="1" applyBorder="1" applyAlignment="1" applyProtection="1">
      <protection locked="0"/>
    </xf>
    <xf numFmtId="2" fontId="12" fillId="32" borderId="0" xfId="0" applyNumberFormat="1" applyFont="1" applyFill="1" applyBorder="1" applyAlignment="1" applyProtection="1">
      <protection locked="0"/>
    </xf>
    <xf numFmtId="2" fontId="12" fillId="32" borderId="4" xfId="0" applyNumberFormat="1" applyFont="1" applyFill="1" applyBorder="1" applyAlignment="1" applyProtection="1">
      <protection locked="0"/>
    </xf>
    <xf numFmtId="0" fontId="16" fillId="0" borderId="0" xfId="0" applyNumberFormat="1" applyFont="1" applyFill="1" applyAlignment="1"/>
    <xf numFmtId="49" fontId="12" fillId="33" borderId="0" xfId="0" applyNumberFormat="1" applyFont="1" applyFill="1" applyAlignment="1">
      <alignment horizontal="left"/>
    </xf>
    <xf numFmtId="0" fontId="12" fillId="33" borderId="0" xfId="0" applyNumberFormat="1" applyFont="1" applyFill="1" applyBorder="1" applyAlignment="1"/>
    <xf numFmtId="165" fontId="12" fillId="0" borderId="0" xfId="0" applyNumberFormat="1" applyFont="1" applyFill="1" applyAlignment="1">
      <alignment horizontal="center"/>
    </xf>
    <xf numFmtId="173" fontId="12" fillId="0" borderId="14" xfId="0" applyNumberFormat="1" applyFont="1" applyBorder="1"/>
    <xf numFmtId="173" fontId="45" fillId="2" borderId="15" xfId="0" applyNumberFormat="1" applyFont="1" applyFill="1" applyBorder="1" applyAlignment="1" applyProtection="1">
      <alignment wrapText="1"/>
      <protection locked="0"/>
    </xf>
    <xf numFmtId="173" fontId="45" fillId="2" borderId="16" xfId="0" applyNumberFormat="1" applyFont="1" applyFill="1" applyBorder="1" applyAlignment="1" applyProtection="1">
      <alignment wrapText="1"/>
      <protection locked="0"/>
    </xf>
    <xf numFmtId="173" fontId="45" fillId="2" borderId="17" xfId="0" applyNumberFormat="1" applyFont="1" applyFill="1" applyBorder="1" applyAlignment="1" applyProtection="1">
      <alignment wrapText="1"/>
      <protection locked="0"/>
    </xf>
    <xf numFmtId="173" fontId="44" fillId="0" borderId="3" xfId="0" applyNumberFormat="1" applyFont="1" applyBorder="1" applyAlignment="1" applyProtection="1">
      <protection locked="0"/>
    </xf>
    <xf numFmtId="173" fontId="44" fillId="0" borderId="0" xfId="0" applyNumberFormat="1" applyFont="1" applyBorder="1" applyAlignment="1" applyProtection="1">
      <protection locked="0"/>
    </xf>
    <xf numFmtId="173" fontId="12" fillId="0" borderId="4" xfId="0" applyNumberFormat="1" applyFont="1" applyBorder="1" applyAlignment="1" applyProtection="1">
      <protection locked="0"/>
    </xf>
    <xf numFmtId="173" fontId="12" fillId="0" borderId="3" xfId="0" applyNumberFormat="1" applyFont="1" applyBorder="1" applyAlignment="1" applyProtection="1">
      <protection locked="0"/>
    </xf>
    <xf numFmtId="173" fontId="12" fillId="0" borderId="0" xfId="0" applyNumberFormat="1" applyFont="1" applyBorder="1" applyAlignment="1" applyProtection="1">
      <protection locked="0"/>
    </xf>
    <xf numFmtId="173" fontId="12" fillId="0" borderId="3" xfId="0" applyNumberFormat="1" applyFont="1" applyFill="1" applyBorder="1" applyAlignment="1" applyProtection="1">
      <protection locked="0"/>
    </xf>
    <xf numFmtId="173" fontId="12" fillId="0" borderId="0" xfId="0" applyNumberFormat="1" applyFont="1" applyFill="1" applyBorder="1" applyAlignment="1" applyProtection="1">
      <protection locked="0"/>
    </xf>
    <xf numFmtId="173" fontId="12" fillId="0" borderId="4" xfId="0" applyNumberFormat="1" applyFont="1" applyFill="1" applyBorder="1" applyAlignment="1" applyProtection="1">
      <alignment horizontal="right"/>
      <protection locked="0"/>
    </xf>
    <xf numFmtId="173" fontId="12" fillId="0" borderId="4" xfId="0" applyNumberFormat="1" applyFont="1" applyFill="1" applyBorder="1" applyAlignment="1" applyProtection="1">
      <protection locked="0"/>
    </xf>
    <xf numFmtId="173" fontId="12" fillId="33" borderId="3" xfId="0" applyNumberFormat="1" applyFont="1" applyFill="1" applyBorder="1" applyAlignment="1" applyProtection="1">
      <protection locked="0"/>
    </xf>
    <xf numFmtId="173" fontId="12" fillId="33" borderId="0" xfId="0" applyNumberFormat="1" applyFont="1" applyFill="1" applyBorder="1" applyAlignment="1" applyProtection="1">
      <protection locked="0"/>
    </xf>
    <xf numFmtId="173" fontId="12" fillId="33" borderId="4" xfId="0" applyNumberFormat="1" applyFont="1" applyFill="1" applyBorder="1" applyAlignment="1" applyProtection="1">
      <protection locked="0"/>
    </xf>
    <xf numFmtId="173" fontId="12" fillId="0" borderId="4" xfId="0" applyNumberFormat="1" applyFont="1" applyFill="1" applyBorder="1"/>
    <xf numFmtId="173" fontId="12" fillId="27" borderId="0" xfId="0" applyNumberFormat="1" applyFont="1" applyFill="1" applyBorder="1" applyAlignment="1" applyProtection="1">
      <protection locked="0"/>
    </xf>
    <xf numFmtId="173" fontId="12" fillId="27" borderId="4" xfId="0" applyNumberFormat="1" applyFont="1" applyFill="1" applyBorder="1" applyAlignment="1" applyProtection="1">
      <protection locked="0"/>
    </xf>
    <xf numFmtId="173" fontId="12" fillId="0" borderId="4" xfId="4613" applyNumberFormat="1" applyFont="1" applyBorder="1" applyAlignment="1" applyProtection="1">
      <protection locked="0"/>
    </xf>
    <xf numFmtId="173" fontId="12" fillId="33" borderId="4" xfId="0" applyNumberFormat="1" applyFont="1" applyFill="1" applyBorder="1" applyAlignment="1" applyProtection="1">
      <alignment horizontal="right"/>
      <protection locked="0"/>
    </xf>
    <xf numFmtId="173" fontId="12" fillId="0" borderId="4" xfId="0" applyNumberFormat="1" applyFont="1" applyFill="1" applyBorder="1" applyAlignment="1">
      <alignment horizontal="right"/>
    </xf>
    <xf numFmtId="173" fontId="12" fillId="0" borderId="0" xfId="0" applyNumberFormat="1" applyFont="1" applyFill="1" applyBorder="1" applyAlignment="1" applyProtection="1">
      <alignment horizontal="right"/>
      <protection locked="0"/>
    </xf>
    <xf numFmtId="173" fontId="12" fillId="0" borderId="4" xfId="0" applyNumberFormat="1" applyFont="1" applyBorder="1"/>
    <xf numFmtId="173" fontId="12" fillId="0" borderId="0" xfId="0" applyNumberFormat="1" applyFont="1" applyBorder="1"/>
    <xf numFmtId="173" fontId="44" fillId="0" borderId="0" xfId="0" applyNumberFormat="1" applyFont="1" applyFill="1" applyBorder="1" applyAlignment="1" applyProtection="1">
      <protection locked="0"/>
    </xf>
    <xf numFmtId="173" fontId="12" fillId="0" borderId="0" xfId="0" applyNumberFormat="1" applyFont="1" applyFill="1" applyBorder="1"/>
    <xf numFmtId="173" fontId="12" fillId="0" borderId="0" xfId="0" applyNumberFormat="1" applyFont="1" applyFill="1"/>
    <xf numFmtId="173" fontId="12" fillId="0" borderId="0" xfId="0" applyNumberFormat="1" applyFont="1"/>
    <xf numFmtId="0" fontId="0" fillId="0" borderId="0" xfId="0" applyAlignment="1"/>
    <xf numFmtId="49" fontId="32" fillId="0" borderId="0" xfId="0" applyNumberFormat="1" applyFont="1" applyAlignment="1"/>
    <xf numFmtId="0" fontId="32" fillId="0" borderId="0" xfId="0" applyFont="1" applyBorder="1" applyAlignment="1"/>
    <xf numFmtId="0" fontId="11" fillId="2" borderId="15" xfId="0" applyFont="1" applyFill="1" applyBorder="1" applyAlignment="1" applyProtection="1">
      <alignment wrapText="1"/>
      <protection locked="0"/>
    </xf>
    <xf numFmtId="0" fontId="11" fillId="29" borderId="16" xfId="0" applyFont="1" applyFill="1" applyBorder="1" applyAlignment="1">
      <alignment wrapText="1"/>
    </xf>
    <xf numFmtId="2" fontId="11" fillId="2" borderId="16" xfId="0" applyNumberFormat="1" applyFont="1" applyFill="1" applyBorder="1" applyAlignment="1" applyProtection="1">
      <alignment wrapText="1"/>
      <protection locked="0"/>
    </xf>
    <xf numFmtId="0" fontId="11" fillId="2" borderId="16" xfId="0" applyFont="1" applyFill="1" applyBorder="1" applyAlignment="1" applyProtection="1">
      <alignment wrapText="1"/>
      <protection locked="0"/>
    </xf>
    <xf numFmtId="49" fontId="11" fillId="2" borderId="16" xfId="0" applyNumberFormat="1" applyFont="1" applyFill="1" applyBorder="1" applyAlignment="1" applyProtection="1">
      <alignment horizontal="center" wrapText="1"/>
      <protection locked="0"/>
    </xf>
    <xf numFmtId="49" fontId="11" fillId="2" borderId="16" xfId="0" applyNumberFormat="1" applyFont="1" applyFill="1" applyBorder="1" applyAlignment="1" applyProtection="1">
      <alignment horizontal="left" wrapText="1"/>
      <protection locked="0"/>
    </xf>
    <xf numFmtId="44" fontId="11" fillId="2" borderId="16" xfId="0" applyNumberFormat="1" applyFont="1" applyFill="1" applyBorder="1" applyAlignment="1" applyProtection="1">
      <alignment wrapText="1"/>
      <protection locked="0"/>
    </xf>
    <xf numFmtId="1" fontId="11" fillId="2" borderId="16" xfId="0" applyNumberFormat="1" applyFont="1" applyFill="1" applyBorder="1" applyAlignment="1" applyProtection="1">
      <alignment wrapText="1"/>
      <protection locked="0"/>
    </xf>
    <xf numFmtId="1" fontId="11" fillId="2" borderId="17" xfId="0" applyNumberFormat="1" applyFont="1" applyFill="1" applyBorder="1" applyAlignment="1" applyProtection="1">
      <alignment wrapText="1"/>
      <protection locked="0"/>
    </xf>
    <xf numFmtId="2" fontId="11" fillId="2" borderId="15" xfId="0" applyNumberFormat="1" applyFont="1" applyFill="1" applyBorder="1" applyAlignment="1" applyProtection="1">
      <alignment wrapText="1"/>
      <protection locked="0"/>
    </xf>
    <xf numFmtId="2" fontId="11" fillId="2" borderId="17" xfId="0" applyNumberFormat="1" applyFont="1" applyFill="1" applyBorder="1" applyAlignment="1" applyProtection="1">
      <alignment wrapText="1"/>
      <protection locked="0"/>
    </xf>
    <xf numFmtId="0" fontId="11" fillId="3" borderId="16" xfId="0" applyFont="1" applyFill="1" applyBorder="1" applyAlignment="1" applyProtection="1">
      <alignment wrapText="1"/>
      <protection locked="0"/>
    </xf>
    <xf numFmtId="0" fontId="11" fillId="4" borderId="16" xfId="0" applyFont="1" applyFill="1" applyBorder="1" applyAlignment="1" applyProtection="1">
      <alignment wrapText="1"/>
      <protection locked="0"/>
    </xf>
    <xf numFmtId="0" fontId="11" fillId="4" borderId="17" xfId="0" applyFont="1" applyFill="1" applyBorder="1" applyAlignment="1" applyProtection="1">
      <alignment wrapText="1"/>
      <protection locked="0"/>
    </xf>
    <xf numFmtId="0" fontId="73" fillId="0" borderId="0" xfId="0" applyFont="1" applyAlignment="1"/>
    <xf numFmtId="8" fontId="12" fillId="0" borderId="0" xfId="0" applyNumberFormat="1" applyFont="1"/>
    <xf numFmtId="173" fontId="32" fillId="0" borderId="0" xfId="0" applyNumberFormat="1" applyFont="1" applyBorder="1" applyAlignment="1">
      <alignment wrapText="1"/>
    </xf>
    <xf numFmtId="2" fontId="32" fillId="0" borderId="0" xfId="0" applyNumberFormat="1" applyFont="1" applyBorder="1" applyAlignment="1"/>
    <xf numFmtId="2" fontId="32" fillId="0" borderId="0" xfId="0" applyNumberFormat="1" applyFont="1" applyFill="1" applyBorder="1" applyAlignment="1"/>
    <xf numFmtId="1" fontId="32" fillId="0" borderId="0" xfId="0" applyNumberFormat="1" applyFont="1" applyBorder="1" applyAlignment="1"/>
    <xf numFmtId="1" fontId="12" fillId="0" borderId="0" xfId="0" applyNumberFormat="1" applyFont="1" applyBorder="1" applyAlignment="1"/>
    <xf numFmtId="1" fontId="12" fillId="0" borderId="0" xfId="0" applyNumberFormat="1" applyFont="1" applyFill="1" applyAlignment="1"/>
    <xf numFmtId="1" fontId="32" fillId="0" borderId="0" xfId="0" applyNumberFormat="1" applyFont="1" applyFill="1" applyBorder="1" applyAlignment="1"/>
    <xf numFmtId="173" fontId="32" fillId="0" borderId="0" xfId="0" applyNumberFormat="1" applyFont="1" applyFill="1" applyBorder="1" applyAlignment="1">
      <alignment wrapText="1"/>
    </xf>
    <xf numFmtId="0" fontId="32" fillId="0" borderId="0" xfId="0" applyFont="1" applyFill="1" applyBorder="1" applyAlignment="1"/>
    <xf numFmtId="0" fontId="12" fillId="0" borderId="0" xfId="0" applyFont="1" applyAlignment="1"/>
    <xf numFmtId="1" fontId="12" fillId="0" borderId="0" xfId="0" applyNumberFormat="1" applyFont="1" applyFill="1"/>
    <xf numFmtId="2" fontId="0" fillId="0" borderId="0" xfId="0" applyNumberFormat="1" applyFill="1"/>
    <xf numFmtId="14" fontId="12" fillId="0" borderId="0" xfId="0" applyNumberFormat="1" applyFont="1" applyFill="1"/>
    <xf numFmtId="1" fontId="12" fillId="0" borderId="0" xfId="0" quotePrefix="1" applyNumberFormat="1" applyFont="1" applyFill="1" applyAlignment="1">
      <alignment horizontal="center"/>
    </xf>
    <xf numFmtId="1" fontId="12" fillId="0" borderId="0" xfId="0" applyNumberFormat="1" applyFont="1"/>
    <xf numFmtId="169" fontId="12" fillId="0" borderId="0" xfId="0" applyNumberFormat="1" applyFont="1"/>
    <xf numFmtId="0" fontId="12" fillId="27" borderId="0" xfId="0" applyNumberFormat="1" applyFont="1" applyFill="1" applyBorder="1" applyAlignment="1" applyProtection="1">
      <protection locked="0"/>
    </xf>
    <xf numFmtId="0" fontId="12" fillId="0" borderId="20" xfId="0" applyFont="1" applyBorder="1"/>
    <xf numFmtId="169" fontId="12" fillId="0" borderId="0" xfId="9141" applyNumberFormat="1" applyFont="1" applyFill="1"/>
    <xf numFmtId="169" fontId="12" fillId="0" borderId="0" xfId="0" applyNumberFormat="1" applyFont="1" applyFill="1" applyBorder="1" applyAlignment="1" applyProtection="1">
      <protection locked="0"/>
    </xf>
    <xf numFmtId="169" fontId="12" fillId="0" borderId="0" xfId="0" applyNumberFormat="1" applyFont="1" applyFill="1"/>
    <xf numFmtId="169" fontId="12" fillId="0" borderId="0" xfId="0" applyNumberFormat="1" applyFont="1" applyBorder="1" applyAlignment="1">
      <alignment horizontal="center"/>
    </xf>
    <xf numFmtId="169" fontId="45" fillId="2" borderId="16" xfId="0" applyNumberFormat="1" applyFont="1" applyFill="1" applyBorder="1" applyAlignment="1" applyProtection="1">
      <alignment wrapText="1"/>
      <protection locked="0"/>
    </xf>
    <xf numFmtId="169" fontId="32" fillId="0" borderId="0" xfId="9141" applyNumberFormat="1" applyFont="1" applyFill="1" applyBorder="1"/>
    <xf numFmtId="169" fontId="32" fillId="33" borderId="0" xfId="9141" applyNumberFormat="1" applyFont="1" applyFill="1" applyBorder="1"/>
    <xf numFmtId="169" fontId="32" fillId="0" borderId="0" xfId="9141" applyNumberFormat="1" applyFont="1" applyFill="1" applyBorder="1" applyAlignment="1">
      <alignment vertical="top"/>
    </xf>
    <xf numFmtId="169" fontId="32" fillId="0" borderId="0" xfId="9136" applyNumberFormat="1" applyFont="1" applyFill="1" applyBorder="1"/>
    <xf numFmtId="169" fontId="12" fillId="0" borderId="0" xfId="9141" applyNumberFormat="1" applyFont="1" applyFill="1" applyBorder="1"/>
    <xf numFmtId="169" fontId="32" fillId="0" borderId="0" xfId="9141" applyNumberFormat="1" applyFont="1" applyFill="1" applyBorder="1" applyProtection="1">
      <protection locked="0"/>
    </xf>
    <xf numFmtId="169" fontId="32" fillId="33" borderId="0" xfId="9136" applyNumberFormat="1" applyFont="1" applyFill="1" applyBorder="1"/>
    <xf numFmtId="169" fontId="12" fillId="33" borderId="0" xfId="9136" applyNumberFormat="1" applyFont="1" applyFill="1" applyBorder="1"/>
    <xf numFmtId="169" fontId="12" fillId="0" borderId="0" xfId="9136" applyNumberFormat="1" applyFont="1" applyFill="1" applyBorder="1"/>
    <xf numFmtId="169" fontId="12" fillId="0" borderId="0" xfId="0" applyNumberFormat="1" applyFont="1" applyBorder="1" applyAlignment="1" applyProtection="1">
      <protection locked="0"/>
    </xf>
    <xf numFmtId="169" fontId="32" fillId="0" borderId="0" xfId="9141" applyNumberFormat="1" applyFont="1" applyFill="1" applyBorder="1" applyAlignment="1" applyProtection="1">
      <alignment vertical="center"/>
      <protection locked="0"/>
    </xf>
    <xf numFmtId="169" fontId="0" fillId="0" borderId="0" xfId="0" applyNumberFormat="1"/>
    <xf numFmtId="169" fontId="12" fillId="33" borderId="0" xfId="0" applyNumberFormat="1" applyFont="1" applyFill="1" applyBorder="1" applyAlignment="1" applyProtection="1">
      <protection locked="0"/>
    </xf>
    <xf numFmtId="169" fontId="12" fillId="0" borderId="0" xfId="4613" applyNumberFormat="1" applyFont="1" applyBorder="1" applyAlignment="1" applyProtection="1">
      <protection locked="0"/>
    </xf>
    <xf numFmtId="169" fontId="12" fillId="0" borderId="0" xfId="0" applyNumberFormat="1" applyFont="1" applyBorder="1" applyAlignment="1" applyProtection="1">
      <alignment horizontal="right"/>
      <protection locked="0"/>
    </xf>
    <xf numFmtId="169" fontId="12" fillId="0" borderId="0" xfId="0" applyNumberFormat="1" applyFont="1" applyFill="1" applyBorder="1" applyAlignment="1" applyProtection="1">
      <alignment horizontal="right"/>
      <protection locked="0"/>
    </xf>
    <xf numFmtId="169" fontId="12" fillId="0" borderId="0" xfId="0" applyNumberFormat="1" applyFont="1" applyAlignment="1">
      <alignment horizontal="right"/>
    </xf>
    <xf numFmtId="0" fontId="13" fillId="0" borderId="0" xfId="0" applyFont="1" applyFill="1" applyBorder="1" applyAlignment="1" applyProtection="1">
      <alignment horizontal="left"/>
      <protection locked="0"/>
    </xf>
    <xf numFmtId="0" fontId="0" fillId="0" borderId="0" xfId="0" applyFont="1" applyAlignment="1"/>
    <xf numFmtId="0" fontId="32" fillId="0" borderId="0" xfId="9135" applyFont="1"/>
    <xf numFmtId="1" fontId="32" fillId="0" borderId="0" xfId="9135" applyNumberFormat="1" applyFont="1" applyFill="1" applyAlignment="1">
      <alignment horizontal="center"/>
    </xf>
    <xf numFmtId="0" fontId="12" fillId="0" borderId="20" xfId="0" applyFont="1" applyFill="1" applyBorder="1"/>
    <xf numFmtId="0" fontId="12" fillId="37" borderId="0" xfId="0" applyFont="1" applyFill="1" applyBorder="1" applyAlignment="1" applyProtection="1">
      <protection locked="0"/>
    </xf>
    <xf numFmtId="14" fontId="12" fillId="37" borderId="0" xfId="0" applyNumberFormat="1" applyFont="1" applyFill="1"/>
    <xf numFmtId="0" fontId="12" fillId="37" borderId="0" xfId="0" applyFont="1" applyFill="1"/>
    <xf numFmtId="49" fontId="12" fillId="37" borderId="0" xfId="0" applyNumberFormat="1" applyFont="1" applyFill="1" applyBorder="1" applyAlignment="1" applyProtection="1">
      <alignment horizontal="center"/>
      <protection locked="0"/>
    </xf>
    <xf numFmtId="0" fontId="12" fillId="37" borderId="0" xfId="0" applyFont="1" applyFill="1" applyAlignment="1">
      <alignment horizontal="left"/>
    </xf>
    <xf numFmtId="169" fontId="12" fillId="37" borderId="0" xfId="0" applyNumberFormat="1" applyFont="1" applyFill="1"/>
    <xf numFmtId="0" fontId="12" fillId="37" borderId="20" xfId="0" applyFont="1" applyFill="1" applyBorder="1"/>
    <xf numFmtId="173" fontId="12" fillId="37" borderId="0" xfId="0" applyNumberFormat="1" applyFont="1" applyFill="1" applyBorder="1" applyAlignment="1" applyProtection="1">
      <protection locked="0"/>
    </xf>
    <xf numFmtId="173" fontId="12" fillId="37" borderId="0" xfId="0" applyNumberFormat="1" applyFont="1" applyFill="1" applyBorder="1"/>
    <xf numFmtId="0" fontId="12" fillId="37" borderId="0" xfId="0" applyFont="1" applyFill="1" applyBorder="1"/>
    <xf numFmtId="0" fontId="12" fillId="37" borderId="0" xfId="0" applyNumberFormat="1" applyFont="1" applyFill="1" applyAlignment="1"/>
    <xf numFmtId="165" fontId="12" fillId="37" borderId="0" xfId="0" applyNumberFormat="1" applyFont="1" applyFill="1" applyAlignment="1">
      <alignment horizontal="center"/>
    </xf>
    <xf numFmtId="0" fontId="12" fillId="28" borderId="0" xfId="0" applyFont="1" applyFill="1" applyAlignment="1">
      <alignment horizontal="center"/>
    </xf>
    <xf numFmtId="0" fontId="12" fillId="28" borderId="4" xfId="0" applyFont="1" applyFill="1" applyBorder="1"/>
    <xf numFmtId="2" fontId="12" fillId="28" borderId="0" xfId="0" applyNumberFormat="1" applyFont="1" applyFill="1"/>
    <xf numFmtId="2" fontId="12" fillId="28" borderId="4" xfId="0" applyNumberFormat="1" applyFont="1" applyFill="1" applyBorder="1"/>
    <xf numFmtId="2" fontId="12" fillId="28" borderId="3" xfId="0" applyNumberFormat="1" applyFont="1" applyFill="1" applyBorder="1"/>
    <xf numFmtId="0" fontId="12" fillId="28" borderId="3" xfId="0" applyFont="1" applyFill="1" applyBorder="1"/>
    <xf numFmtId="0" fontId="13" fillId="0" borderId="0" xfId="0" applyFont="1" applyFill="1" applyBorder="1" applyAlignment="1" applyProtection="1">
      <alignment horizontal="left"/>
      <protection locked="0"/>
    </xf>
    <xf numFmtId="0" fontId="12" fillId="0" borderId="0" xfId="0" applyFont="1" applyAlignment="1"/>
    <xf numFmtId="0" fontId="12" fillId="0" borderId="0" xfId="0" applyFont="1" applyAlignment="1"/>
    <xf numFmtId="1" fontId="12" fillId="0" borderId="0" xfId="0" applyNumberFormat="1" applyFont="1" applyAlignment="1">
      <alignment horizontal="right"/>
    </xf>
    <xf numFmtId="44" fontId="12" fillId="0" borderId="0" xfId="5" applyFont="1"/>
    <xf numFmtId="0" fontId="32" fillId="0" borderId="0" xfId="0" applyFont="1" applyFill="1" applyAlignment="1"/>
    <xf numFmtId="0" fontId="73" fillId="0" borderId="0" xfId="0" applyFont="1" applyFill="1" applyAlignment="1"/>
    <xf numFmtId="2" fontId="12" fillId="0" borderId="0" xfId="0" applyNumberFormat="1" applyFont="1" applyFill="1" applyAlignment="1">
      <alignment horizontal="right"/>
    </xf>
    <xf numFmtId="1" fontId="12" fillId="0" borderId="0" xfId="0" applyNumberFormat="1" applyFont="1" applyFill="1" applyAlignment="1">
      <alignment horizontal="right"/>
    </xf>
    <xf numFmtId="0" fontId="12" fillId="27" borderId="0" xfId="0" applyFont="1" applyFill="1" applyAlignment="1">
      <alignment horizontal="center"/>
    </xf>
    <xf numFmtId="0" fontId="12" fillId="38" borderId="0" xfId="0" applyFont="1" applyFill="1" applyBorder="1" applyAlignment="1" applyProtection="1">
      <protection locked="0"/>
    </xf>
    <xf numFmtId="0" fontId="12" fillId="38" borderId="0" xfId="0" applyFont="1" applyFill="1"/>
    <xf numFmtId="49" fontId="12" fillId="38" borderId="0" xfId="0" applyNumberFormat="1" applyFont="1" applyFill="1"/>
    <xf numFmtId="0" fontId="12" fillId="38" borderId="0" xfId="0" applyFont="1" applyFill="1" applyAlignment="1">
      <alignment horizontal="left"/>
    </xf>
    <xf numFmtId="1" fontId="32" fillId="38" borderId="0" xfId="0" applyNumberFormat="1" applyFont="1" applyFill="1" applyBorder="1" applyAlignment="1"/>
    <xf numFmtId="49" fontId="12" fillId="38" borderId="0" xfId="0" applyNumberFormat="1" applyFont="1" applyFill="1" applyAlignment="1">
      <alignment horizontal="center"/>
    </xf>
    <xf numFmtId="44" fontId="12" fillId="38" borderId="0" xfId="5" applyFont="1" applyFill="1"/>
    <xf numFmtId="0" fontId="12" fillId="38" borderId="0" xfId="0" applyFont="1" applyFill="1" applyBorder="1"/>
    <xf numFmtId="2" fontId="32" fillId="38" borderId="0" xfId="0" applyNumberFormat="1" applyFont="1" applyFill="1" applyBorder="1" applyAlignment="1">
      <alignment wrapText="1"/>
    </xf>
    <xf numFmtId="2" fontId="32" fillId="38" borderId="0" xfId="0" applyNumberFormat="1" applyFont="1" applyFill="1" applyBorder="1" applyAlignment="1"/>
    <xf numFmtId="2" fontId="12" fillId="38" borderId="0" xfId="0" applyNumberFormat="1" applyFont="1" applyFill="1" applyBorder="1"/>
    <xf numFmtId="0" fontId="32" fillId="38" borderId="0" xfId="0" applyFont="1" applyFill="1" applyBorder="1"/>
    <xf numFmtId="0" fontId="12" fillId="38" borderId="0" xfId="0" applyFont="1" applyFill="1" applyBorder="1" applyAlignment="1">
      <alignment horizontal="left"/>
    </xf>
    <xf numFmtId="2" fontId="32" fillId="38" borderId="1" xfId="0" applyNumberFormat="1" applyFont="1" applyFill="1" applyBorder="1" applyAlignment="1"/>
    <xf numFmtId="173" fontId="32" fillId="38" borderId="0" xfId="0" applyNumberFormat="1" applyFont="1" applyFill="1" applyBorder="1" applyAlignment="1">
      <alignment wrapText="1"/>
    </xf>
    <xf numFmtId="0" fontId="32" fillId="38" borderId="0" xfId="0" applyFont="1" applyFill="1" applyBorder="1" applyAlignment="1"/>
    <xf numFmtId="0" fontId="42" fillId="0" borderId="0" xfId="0" applyFont="1" applyAlignment="1">
      <alignment vertical="top"/>
    </xf>
    <xf numFmtId="0" fontId="42" fillId="0" borderId="0" xfId="0" applyFont="1" applyAlignment="1">
      <alignment vertical="center"/>
    </xf>
    <xf numFmtId="0" fontId="42" fillId="0" borderId="0" xfId="0" applyFont="1" applyAlignment="1"/>
    <xf numFmtId="0" fontId="32" fillId="0" borderId="0" xfId="9135" applyFont="1" applyFill="1"/>
    <xf numFmtId="0" fontId="32" fillId="0" borderId="4" xfId="9135" applyFont="1" applyBorder="1"/>
    <xf numFmtId="169" fontId="32" fillId="0" borderId="0" xfId="9141" applyNumberFormat="1" applyFont="1"/>
    <xf numFmtId="14" fontId="12" fillId="0" borderId="0" xfId="0" applyNumberFormat="1" applyFont="1" applyFill="1" applyBorder="1" applyAlignment="1" applyProtection="1">
      <alignment horizontal="left"/>
      <protection locked="0"/>
    </xf>
    <xf numFmtId="2" fontId="11" fillId="2" borderId="18" xfId="0" applyNumberFormat="1" applyFont="1" applyFill="1" applyBorder="1" applyAlignment="1" applyProtection="1">
      <alignment wrapText="1"/>
      <protection locked="0"/>
    </xf>
    <xf numFmtId="2" fontId="32" fillId="38" borderId="2" xfId="0" applyNumberFormat="1" applyFont="1" applyFill="1" applyBorder="1" applyAlignment="1"/>
    <xf numFmtId="2" fontId="12" fillId="0" borderId="21" xfId="0" applyNumberFormat="1" applyFont="1" applyBorder="1" applyAlignment="1" applyProtection="1">
      <protection locked="0"/>
    </xf>
    <xf numFmtId="2" fontId="12" fillId="27" borderId="21" xfId="0" applyNumberFormat="1" applyFont="1" applyFill="1" applyBorder="1" applyAlignment="1" applyProtection="1">
      <protection locked="0"/>
    </xf>
    <xf numFmtId="2" fontId="12" fillId="0" borderId="21" xfId="0" applyNumberFormat="1" applyFont="1" applyFill="1" applyBorder="1" applyAlignment="1" applyProtection="1">
      <protection locked="0"/>
    </xf>
    <xf numFmtId="0" fontId="12" fillId="27" borderId="21" xfId="0" applyFont="1" applyFill="1" applyBorder="1"/>
    <xf numFmtId="0" fontId="12" fillId="0" borderId="21" xfId="0" applyFont="1" applyBorder="1"/>
    <xf numFmtId="0" fontId="12" fillId="38" borderId="21" xfId="0" applyFont="1" applyFill="1" applyBorder="1"/>
    <xf numFmtId="0" fontId="12" fillId="0" borderId="21" xfId="0" applyFont="1" applyFill="1" applyBorder="1"/>
    <xf numFmtId="2" fontId="12" fillId="0" borderId="22" xfId="0" applyNumberFormat="1" applyFont="1" applyBorder="1" applyAlignment="1" applyProtection="1">
      <protection locked="0"/>
    </xf>
    <xf numFmtId="2" fontId="12" fillId="0" borderId="19" xfId="0" applyNumberFormat="1" applyFont="1" applyBorder="1" applyAlignment="1" applyProtection="1">
      <protection locked="0"/>
    </xf>
    <xf numFmtId="2" fontId="12" fillId="27" borderId="19" xfId="0" applyNumberFormat="1" applyFont="1" applyFill="1" applyBorder="1" applyAlignment="1" applyProtection="1">
      <protection locked="0"/>
    </xf>
    <xf numFmtId="2" fontId="12" fillId="0" borderId="19" xfId="0" applyNumberFormat="1" applyFont="1" applyFill="1" applyBorder="1" applyAlignment="1" applyProtection="1">
      <protection locked="0"/>
    </xf>
    <xf numFmtId="0" fontId="12" fillId="27" borderId="19" xfId="0" applyFont="1" applyFill="1" applyBorder="1"/>
    <xf numFmtId="0" fontId="12" fillId="0" borderId="19" xfId="0" applyFont="1" applyBorder="1"/>
    <xf numFmtId="0" fontId="12" fillId="38" borderId="19" xfId="0" applyFont="1" applyFill="1" applyBorder="1"/>
    <xf numFmtId="0" fontId="12" fillId="0" borderId="19" xfId="0" applyFont="1" applyFill="1" applyBorder="1"/>
    <xf numFmtId="169" fontId="32" fillId="0" borderId="0" xfId="9141" applyNumberFormat="1" applyFont="1" applyFill="1" applyBorder="1" applyAlignment="1" applyProtection="1">
      <alignment horizontal="right"/>
      <protection locked="0"/>
    </xf>
    <xf numFmtId="0" fontId="12" fillId="0" borderId="0" xfId="0" applyFont="1" applyFill="1" applyAlignment="1">
      <alignment vertical="center"/>
    </xf>
    <xf numFmtId="0" fontId="12" fillId="0" borderId="0" xfId="0" applyFont="1" applyAlignment="1"/>
    <xf numFmtId="173" fontId="12" fillId="0" borderId="19" xfId="0" applyNumberFormat="1" applyFont="1" applyFill="1" applyBorder="1"/>
    <xf numFmtId="0" fontId="42" fillId="0" borderId="0" xfId="0" applyFont="1" applyFill="1" applyAlignment="1">
      <alignment vertical="top" wrapText="1"/>
    </xf>
    <xf numFmtId="0" fontId="42" fillId="0" borderId="0" xfId="0" applyFont="1" applyFill="1" applyAlignment="1">
      <alignment wrapText="1"/>
    </xf>
    <xf numFmtId="0" fontId="12" fillId="0" borderId="0" xfId="0" applyFont="1" applyFill="1" applyBorder="1" applyAlignment="1" applyProtection="1">
      <alignment horizontal="left" vertical="top"/>
      <protection locked="0"/>
    </xf>
    <xf numFmtId="0" fontId="12" fillId="0" borderId="0" xfId="0" applyFont="1" applyAlignment="1"/>
    <xf numFmtId="0" fontId="12" fillId="0" borderId="0" xfId="0" applyFont="1" applyFill="1" applyBorder="1" applyAlignment="1" applyProtection="1">
      <alignment vertical="center"/>
      <protection locked="0"/>
    </xf>
    <xf numFmtId="1" fontId="32" fillId="0" borderId="0" xfId="9135" applyNumberFormat="1" applyFont="1" applyAlignment="1">
      <alignment horizontal="center"/>
    </xf>
    <xf numFmtId="0" fontId="32" fillId="27" borderId="0" xfId="9135" applyFont="1" applyFill="1"/>
    <xf numFmtId="0" fontId="12" fillId="0" borderId="0" xfId="0" applyFont="1" applyFill="1" applyBorder="1" applyAlignment="1" applyProtection="1">
      <alignment vertical="center"/>
      <protection locked="0"/>
    </xf>
    <xf numFmtId="0" fontId="12" fillId="0" borderId="0" xfId="0" applyFont="1" applyAlignment="1"/>
    <xf numFmtId="0" fontId="12" fillId="0" borderId="0" xfId="0" applyFont="1" applyAlignment="1"/>
    <xf numFmtId="2" fontId="12" fillId="33" borderId="4" xfId="0" applyNumberFormat="1" applyFont="1" applyFill="1" applyBorder="1" applyAlignment="1" applyProtection="1">
      <alignment horizontal="right"/>
      <protection locked="0"/>
    </xf>
    <xf numFmtId="0" fontId="12" fillId="0" borderId="0" xfId="0" applyNumberFormat="1" applyFont="1" applyFill="1" applyAlignment="1">
      <alignment vertical="top"/>
    </xf>
    <xf numFmtId="2" fontId="12" fillId="0" borderId="20" xfId="0" applyNumberFormat="1" applyFont="1" applyFill="1" applyBorder="1" applyAlignment="1" applyProtection="1">
      <protection locked="0"/>
    </xf>
    <xf numFmtId="2" fontId="12" fillId="0" borderId="23" xfId="0" quotePrefix="1" applyNumberFormat="1" applyFont="1" applyFill="1" applyBorder="1" applyAlignment="1" applyProtection="1">
      <protection locked="0"/>
    </xf>
    <xf numFmtId="2" fontId="12" fillId="0" borderId="24" xfId="0" quotePrefix="1" applyNumberFormat="1" applyFont="1" applyFill="1" applyBorder="1" applyAlignment="1" applyProtection="1">
      <protection locked="0"/>
    </xf>
    <xf numFmtId="0" fontId="12" fillId="33" borderId="0" xfId="0" applyFont="1" applyFill="1" applyBorder="1" applyAlignment="1" applyProtection="1">
      <alignment vertical="center"/>
      <protection locked="0"/>
    </xf>
    <xf numFmtId="0" fontId="42" fillId="33" borderId="0" xfId="0" applyFont="1" applyFill="1" applyAlignment="1">
      <alignment wrapText="1"/>
    </xf>
    <xf numFmtId="169" fontId="32" fillId="27" borderId="0" xfId="9141" applyNumberFormat="1" applyFont="1" applyFill="1" applyBorder="1" applyProtection="1">
      <protection locked="0"/>
    </xf>
    <xf numFmtId="169" fontId="12" fillId="27" borderId="0" xfId="9141" applyNumberFormat="1" applyFont="1" applyFill="1" applyBorder="1"/>
    <xf numFmtId="0" fontId="32" fillId="0" borderId="20" xfId="9135" applyFont="1" applyFill="1" applyBorder="1"/>
    <xf numFmtId="0" fontId="50" fillId="0" borderId="0" xfId="0" applyFont="1" applyBorder="1" applyAlignment="1" applyProtection="1">
      <protection locked="0"/>
    </xf>
    <xf numFmtId="0" fontId="12" fillId="0" borderId="0" xfId="0" applyFont="1" applyAlignment="1"/>
    <xf numFmtId="0" fontId="50" fillId="0" borderId="0" xfId="0" applyFont="1" applyBorder="1" applyAlignment="1" applyProtection="1">
      <alignment horizontal="left"/>
      <protection locked="0"/>
    </xf>
    <xf numFmtId="0" fontId="13" fillId="0" borderId="0" xfId="0" applyFont="1" applyBorder="1" applyAlignment="1" applyProtection="1">
      <alignment horizontal="left"/>
      <protection locked="0"/>
    </xf>
    <xf numFmtId="0" fontId="13" fillId="0" borderId="0" xfId="0" applyFont="1" applyFill="1" applyBorder="1" applyAlignment="1" applyProtection="1">
      <alignment horizontal="left"/>
      <protection locked="0"/>
    </xf>
    <xf numFmtId="0" fontId="50" fillId="0" borderId="0" xfId="0" applyFont="1" applyBorder="1" applyAlignment="1" applyProtection="1">
      <protection locked="0"/>
    </xf>
    <xf numFmtId="0" fontId="12" fillId="0" borderId="0" xfId="0" applyFont="1" applyAlignment="1"/>
    <xf numFmtId="170" fontId="12" fillId="0" borderId="0" xfId="0" applyNumberFormat="1" applyFont="1" applyFill="1" applyBorder="1" applyAlignment="1" applyProtection="1">
      <alignment vertical="center"/>
      <protection locked="0"/>
    </xf>
    <xf numFmtId="0" fontId="0" fillId="0" borderId="0" xfId="0" applyAlignment="1">
      <alignment vertical="center"/>
    </xf>
    <xf numFmtId="49" fontId="12" fillId="0" borderId="0" xfId="0" applyNumberFormat="1" applyFont="1" applyFill="1" applyAlignment="1">
      <alignment vertical="center"/>
    </xf>
    <xf numFmtId="0" fontId="0" fillId="0" borderId="0" xfId="0" applyFill="1" applyAlignment="1">
      <alignment vertical="center"/>
    </xf>
    <xf numFmtId="2" fontId="11" fillId="0" borderId="3" xfId="0" applyNumberFormat="1" applyFont="1" applyFill="1" applyBorder="1" applyAlignment="1" applyProtection="1">
      <alignment horizontal="center" wrapText="1"/>
      <protection locked="0"/>
    </xf>
    <xf numFmtId="2" fontId="11" fillId="0" borderId="0" xfId="0" applyNumberFormat="1" applyFont="1" applyFill="1" applyBorder="1" applyAlignment="1" applyProtection="1">
      <alignment horizontal="center" wrapText="1"/>
      <protection locked="0"/>
    </xf>
    <xf numFmtId="2" fontId="11" fillId="0" borderId="4" xfId="0" applyNumberFormat="1" applyFont="1" applyFill="1" applyBorder="1" applyAlignment="1" applyProtection="1">
      <alignment horizontal="center" wrapText="1"/>
      <protection locked="0"/>
    </xf>
    <xf numFmtId="2" fontId="11" fillId="0" borderId="3" xfId="0" applyNumberFormat="1" applyFont="1" applyFill="1" applyBorder="1" applyAlignment="1" applyProtection="1">
      <alignment horizontal="center"/>
      <protection locked="0"/>
    </xf>
    <xf numFmtId="2" fontId="11" fillId="0" borderId="0" xfId="0" applyNumberFormat="1" applyFont="1" applyFill="1" applyBorder="1" applyAlignment="1" applyProtection="1">
      <alignment horizontal="center"/>
      <protection locked="0"/>
    </xf>
    <xf numFmtId="2" fontId="11" fillId="0" borderId="4" xfId="0" applyNumberFormat="1" applyFont="1" applyFill="1" applyBorder="1" applyAlignment="1" applyProtection="1">
      <alignment horizontal="center"/>
      <protection locked="0"/>
    </xf>
    <xf numFmtId="2" fontId="12" fillId="0" borderId="0" xfId="0" applyNumberFormat="1" applyFont="1" applyBorder="1" applyAlignment="1" applyProtection="1">
      <alignment vertical="center"/>
      <protection locked="0"/>
    </xf>
    <xf numFmtId="0" fontId="14" fillId="0" borderId="0" xfId="0" applyFont="1" applyFill="1" applyAlignment="1">
      <alignment vertical="center"/>
    </xf>
    <xf numFmtId="0" fontId="12" fillId="0" borderId="0" xfId="0" applyFont="1" applyFill="1" applyBorder="1" applyAlignment="1" applyProtection="1">
      <alignment vertical="center"/>
      <protection locked="0"/>
    </xf>
    <xf numFmtId="0" fontId="12" fillId="0" borderId="0" xfId="0" applyFont="1" applyFill="1" applyAlignment="1">
      <alignment vertical="center"/>
    </xf>
  </cellXfs>
  <cellStyles count="18176">
    <cellStyle name="20% - Accent1 2" xfId="1177"/>
    <cellStyle name="20% - Accent2 2" xfId="1178"/>
    <cellStyle name="20% - Accent3 2" xfId="1179"/>
    <cellStyle name="20% - Accent4 2" xfId="1180"/>
    <cellStyle name="20% - Accent5 2" xfId="1181"/>
    <cellStyle name="20% - Accent6 2" xfId="1182"/>
    <cellStyle name="20% - Accent6 2 2" xfId="2348"/>
    <cellStyle name="20% - Dekorfärg1" xfId="197"/>
    <cellStyle name="20% - Dekorfärg2" xfId="198"/>
    <cellStyle name="20% - Dekorfärg3" xfId="199"/>
    <cellStyle name="20% - Dekorfärg4" xfId="200"/>
    <cellStyle name="20% - Dekorfärg5" xfId="201"/>
    <cellStyle name="20% - Dekorfärg6" xfId="202"/>
    <cellStyle name="20% - Dekorfärg6 2" xfId="2349"/>
    <cellStyle name="40% - Accent1 2" xfId="1183"/>
    <cellStyle name="40% - Accent2 2" xfId="1184"/>
    <cellStyle name="40% - Accent3 2" xfId="1185"/>
    <cellStyle name="40% - Accent4 2" xfId="1186"/>
    <cellStyle name="40% - Accent5 2" xfId="1187"/>
    <cellStyle name="40% - Accent6 2" xfId="1188"/>
    <cellStyle name="40% - Dekorfärg1" xfId="203"/>
    <cellStyle name="40% - Dekorfärg2" xfId="204"/>
    <cellStyle name="40% - Dekorfärg3" xfId="205"/>
    <cellStyle name="40% - Dekorfärg4" xfId="206"/>
    <cellStyle name="40% - Dekorfärg5" xfId="207"/>
    <cellStyle name="40% - Dekorfärg6" xfId="208"/>
    <cellStyle name="60% - Accent1 2" xfId="1189"/>
    <cellStyle name="60% - Accent2 2" xfId="1190"/>
    <cellStyle name="60% - Accent3 2" xfId="1191"/>
    <cellStyle name="60% - Accent4 2" xfId="1192"/>
    <cellStyle name="60% - Accent5 2" xfId="1193"/>
    <cellStyle name="60% - Accent6 2" xfId="1194"/>
    <cellStyle name="60% - Dekorfärg1" xfId="209"/>
    <cellStyle name="60% - Dekorfärg2" xfId="210"/>
    <cellStyle name="60% - Dekorfärg3" xfId="211"/>
    <cellStyle name="60% - Dekorfärg4" xfId="212"/>
    <cellStyle name="60% - Dekorfärg5" xfId="213"/>
    <cellStyle name="60% - Dekorfärg6" xfId="214"/>
    <cellStyle name="Accent1 2" xfId="1195"/>
    <cellStyle name="Accent2 2" xfId="1196"/>
    <cellStyle name="Accent3 2" xfId="1197"/>
    <cellStyle name="Accent4 2" xfId="1198"/>
    <cellStyle name="Accent5 2" xfId="1199"/>
    <cellStyle name="Accent6 2" xfId="1200"/>
    <cellStyle name="Anteckning" xfId="215"/>
    <cellStyle name="Bad 2" xfId="1201"/>
    <cellStyle name="Beräkning" xfId="216"/>
    <cellStyle name="Bra" xfId="217"/>
    <cellStyle name="Calculation 2" xfId="1202"/>
    <cellStyle name="Check Cell 2" xfId="1203"/>
    <cellStyle name="Comma" xfId="4613" builtinId="3"/>
    <cellStyle name="Comma 2" xfId="9140"/>
    <cellStyle name="Comma 3" xfId="13654"/>
    <cellStyle name="Currency" xfId="9141" builtinId="4"/>
    <cellStyle name="Currency 2" xfId="5"/>
    <cellStyle name="Currency 2 2" xfId="9137"/>
    <cellStyle name="Currency 3" xfId="2350"/>
    <cellStyle name="Currency 4" xfId="9136"/>
    <cellStyle name="Currency 4 2" xfId="18174"/>
    <cellStyle name="Dålig" xfId="218"/>
    <cellStyle name="Explanatory Text 2" xfId="1204"/>
    <cellStyle name="Färg1" xfId="219"/>
    <cellStyle name="Färg2" xfId="220"/>
    <cellStyle name="Färg3" xfId="221"/>
    <cellStyle name="Färg4" xfId="222"/>
    <cellStyle name="Färg5" xfId="223"/>
    <cellStyle name="Färg6" xfId="224"/>
    <cellStyle name="Förklarande text" xfId="225"/>
    <cellStyle name="Good 2" xfId="1205"/>
    <cellStyle name="Heading 1 2" xfId="1206"/>
    <cellStyle name="Heading 2 2" xfId="1207"/>
    <cellStyle name="Heading 3 2" xfId="1208"/>
    <cellStyle name="Heading 4 2" xfId="1209"/>
    <cellStyle name="Hyperlänk 2" xfId="9129"/>
    <cellStyle name="Indata" xfId="226"/>
    <cellStyle name="Indata 2" xfId="2351"/>
    <cellStyle name="Input 2" xfId="1210"/>
    <cellStyle name="Input 2 2" xfId="2352"/>
    <cellStyle name="Kontrollcell" xfId="227"/>
    <cellStyle name="Länkad cell" xfId="228"/>
    <cellStyle name="Linked Cell 2" xfId="1211"/>
    <cellStyle name="Neutral 2" xfId="1212"/>
    <cellStyle name="Normal" xfId="0" builtinId="0"/>
    <cellStyle name="Normal 10" xfId="9135"/>
    <cellStyle name="Normal 10 2" xfId="18173"/>
    <cellStyle name="Normal 100" xfId="6"/>
    <cellStyle name="Normal 100 2" xfId="102"/>
    <cellStyle name="Normal 100 2 2" xfId="331"/>
    <cellStyle name="Normal 100 2 2 2" xfId="895"/>
    <cellStyle name="Normal 100 2 2 2 2" xfId="2065"/>
    <cellStyle name="Normal 100 2 2 2 2 2" xfId="2357"/>
    <cellStyle name="Normal 100 2 2 2 2 2 2" xfId="6874"/>
    <cellStyle name="Normal 100 2 2 2 2 2 2 2" xfId="15915"/>
    <cellStyle name="Normal 100 2 2 2 2 2 3" xfId="11402"/>
    <cellStyle name="Normal 100 2 2 2 2 3" xfId="6588"/>
    <cellStyle name="Normal 100 2 2 2 2 3 2" xfId="15629"/>
    <cellStyle name="Normal 100 2 2 2 2 4" xfId="11116"/>
    <cellStyle name="Normal 100 2 2 2 3" xfId="2356"/>
    <cellStyle name="Normal 100 2 2 2 3 2" xfId="6873"/>
    <cellStyle name="Normal 100 2 2 2 3 2 2" xfId="15914"/>
    <cellStyle name="Normal 100 2 2 2 3 3" xfId="11401"/>
    <cellStyle name="Normal 100 2 2 2 4" xfId="5460"/>
    <cellStyle name="Normal 100 2 2 2 4 2" xfId="14501"/>
    <cellStyle name="Normal 100 2 2 2 5" xfId="9988"/>
    <cellStyle name="Normal 100 2 2 3" xfId="1501"/>
    <cellStyle name="Normal 100 2 2 3 2" xfId="2358"/>
    <cellStyle name="Normal 100 2 2 3 2 2" xfId="6875"/>
    <cellStyle name="Normal 100 2 2 3 2 2 2" xfId="15916"/>
    <cellStyle name="Normal 100 2 2 3 2 3" xfId="11403"/>
    <cellStyle name="Normal 100 2 2 3 3" xfId="6024"/>
    <cellStyle name="Normal 100 2 2 3 3 2" xfId="15065"/>
    <cellStyle name="Normal 100 2 2 3 4" xfId="10552"/>
    <cellStyle name="Normal 100 2 2 4" xfId="2355"/>
    <cellStyle name="Normal 100 2 2 4 2" xfId="6872"/>
    <cellStyle name="Normal 100 2 2 4 2 2" xfId="15913"/>
    <cellStyle name="Normal 100 2 2 4 3" xfId="11400"/>
    <cellStyle name="Normal 100 2 2 5" xfId="4896"/>
    <cellStyle name="Normal 100 2 2 5 2" xfId="13937"/>
    <cellStyle name="Normal 100 2 2 6" xfId="9424"/>
    <cellStyle name="Normal 100 2 3" xfId="519"/>
    <cellStyle name="Normal 100 2 3 2" xfId="1083"/>
    <cellStyle name="Normal 100 2 3 2 2" xfId="2253"/>
    <cellStyle name="Normal 100 2 3 2 2 2" xfId="2361"/>
    <cellStyle name="Normal 100 2 3 2 2 2 2" xfId="6878"/>
    <cellStyle name="Normal 100 2 3 2 2 2 2 2" xfId="15919"/>
    <cellStyle name="Normal 100 2 3 2 2 2 3" xfId="11406"/>
    <cellStyle name="Normal 100 2 3 2 2 3" xfId="6776"/>
    <cellStyle name="Normal 100 2 3 2 2 3 2" xfId="15817"/>
    <cellStyle name="Normal 100 2 3 2 2 4" xfId="11304"/>
    <cellStyle name="Normal 100 2 3 2 3" xfId="2360"/>
    <cellStyle name="Normal 100 2 3 2 3 2" xfId="6877"/>
    <cellStyle name="Normal 100 2 3 2 3 2 2" xfId="15918"/>
    <cellStyle name="Normal 100 2 3 2 3 3" xfId="11405"/>
    <cellStyle name="Normal 100 2 3 2 4" xfId="5648"/>
    <cellStyle name="Normal 100 2 3 2 4 2" xfId="14689"/>
    <cellStyle name="Normal 100 2 3 2 5" xfId="10176"/>
    <cellStyle name="Normal 100 2 3 3" xfId="1689"/>
    <cellStyle name="Normal 100 2 3 3 2" xfId="2362"/>
    <cellStyle name="Normal 100 2 3 3 2 2" xfId="6879"/>
    <cellStyle name="Normal 100 2 3 3 2 2 2" xfId="15920"/>
    <cellStyle name="Normal 100 2 3 3 2 3" xfId="11407"/>
    <cellStyle name="Normal 100 2 3 3 3" xfId="6212"/>
    <cellStyle name="Normal 100 2 3 3 3 2" xfId="15253"/>
    <cellStyle name="Normal 100 2 3 3 4" xfId="10740"/>
    <cellStyle name="Normal 100 2 3 4" xfId="2359"/>
    <cellStyle name="Normal 100 2 3 4 2" xfId="6876"/>
    <cellStyle name="Normal 100 2 3 4 2 2" xfId="15917"/>
    <cellStyle name="Normal 100 2 3 4 3" xfId="11404"/>
    <cellStyle name="Normal 100 2 3 5" xfId="5084"/>
    <cellStyle name="Normal 100 2 3 5 2" xfId="14125"/>
    <cellStyle name="Normal 100 2 3 6" xfId="9612"/>
    <cellStyle name="Normal 100 2 4" xfId="707"/>
    <cellStyle name="Normal 100 2 4 2" xfId="1877"/>
    <cellStyle name="Normal 100 2 4 2 2" xfId="2364"/>
    <cellStyle name="Normal 100 2 4 2 2 2" xfId="6881"/>
    <cellStyle name="Normal 100 2 4 2 2 2 2" xfId="15922"/>
    <cellStyle name="Normal 100 2 4 2 2 3" xfId="11409"/>
    <cellStyle name="Normal 100 2 4 2 3" xfId="6400"/>
    <cellStyle name="Normal 100 2 4 2 3 2" xfId="15441"/>
    <cellStyle name="Normal 100 2 4 2 4" xfId="10928"/>
    <cellStyle name="Normal 100 2 4 3" xfId="2363"/>
    <cellStyle name="Normal 100 2 4 3 2" xfId="6880"/>
    <cellStyle name="Normal 100 2 4 3 2 2" xfId="15921"/>
    <cellStyle name="Normal 100 2 4 3 3" xfId="11408"/>
    <cellStyle name="Normal 100 2 4 4" xfId="5272"/>
    <cellStyle name="Normal 100 2 4 4 2" xfId="14313"/>
    <cellStyle name="Normal 100 2 4 5" xfId="9800"/>
    <cellStyle name="Normal 100 2 5" xfId="1313"/>
    <cellStyle name="Normal 100 2 5 2" xfId="2365"/>
    <cellStyle name="Normal 100 2 5 2 2" xfId="6882"/>
    <cellStyle name="Normal 100 2 5 2 2 2" xfId="15923"/>
    <cellStyle name="Normal 100 2 5 2 3" xfId="11410"/>
    <cellStyle name="Normal 100 2 5 3" xfId="5836"/>
    <cellStyle name="Normal 100 2 5 3 2" xfId="14877"/>
    <cellStyle name="Normal 100 2 5 4" xfId="10364"/>
    <cellStyle name="Normal 100 2 6" xfId="2354"/>
    <cellStyle name="Normal 100 2 6 2" xfId="6871"/>
    <cellStyle name="Normal 100 2 6 2 2" xfId="15912"/>
    <cellStyle name="Normal 100 2 6 3" xfId="11399"/>
    <cellStyle name="Normal 100 2 7" xfId="4708"/>
    <cellStyle name="Normal 100 2 7 2" xfId="13749"/>
    <cellStyle name="Normal 100 2 8" xfId="9236"/>
    <cellStyle name="Normal 100 3" xfId="237"/>
    <cellStyle name="Normal 100 3 2" xfId="801"/>
    <cellStyle name="Normal 100 3 2 2" xfId="1971"/>
    <cellStyle name="Normal 100 3 2 2 2" xfId="2368"/>
    <cellStyle name="Normal 100 3 2 2 2 2" xfId="6885"/>
    <cellStyle name="Normal 100 3 2 2 2 2 2" xfId="15926"/>
    <cellStyle name="Normal 100 3 2 2 2 3" xfId="11413"/>
    <cellStyle name="Normal 100 3 2 2 3" xfId="6494"/>
    <cellStyle name="Normal 100 3 2 2 3 2" xfId="15535"/>
    <cellStyle name="Normal 100 3 2 2 4" xfId="11022"/>
    <cellStyle name="Normal 100 3 2 3" xfId="2367"/>
    <cellStyle name="Normal 100 3 2 3 2" xfId="6884"/>
    <cellStyle name="Normal 100 3 2 3 2 2" xfId="15925"/>
    <cellStyle name="Normal 100 3 2 3 3" xfId="11412"/>
    <cellStyle name="Normal 100 3 2 4" xfId="5366"/>
    <cellStyle name="Normal 100 3 2 4 2" xfId="14407"/>
    <cellStyle name="Normal 100 3 2 5" xfId="9894"/>
    <cellStyle name="Normal 100 3 3" xfId="1407"/>
    <cellStyle name="Normal 100 3 3 2" xfId="2369"/>
    <cellStyle name="Normal 100 3 3 2 2" xfId="6886"/>
    <cellStyle name="Normal 100 3 3 2 2 2" xfId="15927"/>
    <cellStyle name="Normal 100 3 3 2 3" xfId="11414"/>
    <cellStyle name="Normal 100 3 3 3" xfId="5930"/>
    <cellStyle name="Normal 100 3 3 3 2" xfId="14971"/>
    <cellStyle name="Normal 100 3 3 4" xfId="10458"/>
    <cellStyle name="Normal 100 3 4" xfId="2366"/>
    <cellStyle name="Normal 100 3 4 2" xfId="6883"/>
    <cellStyle name="Normal 100 3 4 2 2" xfId="15924"/>
    <cellStyle name="Normal 100 3 4 3" xfId="11411"/>
    <cellStyle name="Normal 100 3 5" xfId="4802"/>
    <cellStyle name="Normal 100 3 5 2" xfId="13843"/>
    <cellStyle name="Normal 100 3 6" xfId="9330"/>
    <cellStyle name="Normal 100 4" xfId="425"/>
    <cellStyle name="Normal 100 4 2" xfId="989"/>
    <cellStyle name="Normal 100 4 2 2" xfId="2159"/>
    <cellStyle name="Normal 100 4 2 2 2" xfId="2372"/>
    <cellStyle name="Normal 100 4 2 2 2 2" xfId="6889"/>
    <cellStyle name="Normal 100 4 2 2 2 2 2" xfId="15930"/>
    <cellStyle name="Normal 100 4 2 2 2 3" xfId="11417"/>
    <cellStyle name="Normal 100 4 2 2 3" xfId="6682"/>
    <cellStyle name="Normal 100 4 2 2 3 2" xfId="15723"/>
    <cellStyle name="Normal 100 4 2 2 4" xfId="11210"/>
    <cellStyle name="Normal 100 4 2 3" xfId="2371"/>
    <cellStyle name="Normal 100 4 2 3 2" xfId="6888"/>
    <cellStyle name="Normal 100 4 2 3 2 2" xfId="15929"/>
    <cellStyle name="Normal 100 4 2 3 3" xfId="11416"/>
    <cellStyle name="Normal 100 4 2 4" xfId="5554"/>
    <cellStyle name="Normal 100 4 2 4 2" xfId="14595"/>
    <cellStyle name="Normal 100 4 2 5" xfId="10082"/>
    <cellStyle name="Normal 100 4 3" xfId="1595"/>
    <cellStyle name="Normal 100 4 3 2" xfId="2373"/>
    <cellStyle name="Normal 100 4 3 2 2" xfId="6890"/>
    <cellStyle name="Normal 100 4 3 2 2 2" xfId="15931"/>
    <cellStyle name="Normal 100 4 3 2 3" xfId="11418"/>
    <cellStyle name="Normal 100 4 3 3" xfId="6118"/>
    <cellStyle name="Normal 100 4 3 3 2" xfId="15159"/>
    <cellStyle name="Normal 100 4 3 4" xfId="10646"/>
    <cellStyle name="Normal 100 4 4" xfId="2370"/>
    <cellStyle name="Normal 100 4 4 2" xfId="6887"/>
    <cellStyle name="Normal 100 4 4 2 2" xfId="15928"/>
    <cellStyle name="Normal 100 4 4 3" xfId="11415"/>
    <cellStyle name="Normal 100 4 5" xfId="4990"/>
    <cellStyle name="Normal 100 4 5 2" xfId="14031"/>
    <cellStyle name="Normal 100 4 6" xfId="9518"/>
    <cellStyle name="Normal 100 5" xfId="613"/>
    <cellStyle name="Normal 100 5 2" xfId="1783"/>
    <cellStyle name="Normal 100 5 2 2" xfId="2375"/>
    <cellStyle name="Normal 100 5 2 2 2" xfId="6892"/>
    <cellStyle name="Normal 100 5 2 2 2 2" xfId="15933"/>
    <cellStyle name="Normal 100 5 2 2 3" xfId="11420"/>
    <cellStyle name="Normal 100 5 2 3" xfId="6306"/>
    <cellStyle name="Normal 100 5 2 3 2" xfId="15347"/>
    <cellStyle name="Normal 100 5 2 4" xfId="10834"/>
    <cellStyle name="Normal 100 5 3" xfId="2374"/>
    <cellStyle name="Normal 100 5 3 2" xfId="6891"/>
    <cellStyle name="Normal 100 5 3 2 2" xfId="15932"/>
    <cellStyle name="Normal 100 5 3 3" xfId="11419"/>
    <cellStyle name="Normal 100 5 4" xfId="5178"/>
    <cellStyle name="Normal 100 5 4 2" xfId="14219"/>
    <cellStyle name="Normal 100 5 5" xfId="9706"/>
    <cellStyle name="Normal 100 6" xfId="1219"/>
    <cellStyle name="Normal 100 6 2" xfId="2376"/>
    <cellStyle name="Normal 100 6 2 2" xfId="6893"/>
    <cellStyle name="Normal 100 6 2 2 2" xfId="15934"/>
    <cellStyle name="Normal 100 6 2 3" xfId="11421"/>
    <cellStyle name="Normal 100 6 3" xfId="5742"/>
    <cellStyle name="Normal 100 6 3 2" xfId="14783"/>
    <cellStyle name="Normal 100 6 4" xfId="10270"/>
    <cellStyle name="Normal 100 7" xfId="2353"/>
    <cellStyle name="Normal 100 7 2" xfId="6870"/>
    <cellStyle name="Normal 100 7 2 2" xfId="15911"/>
    <cellStyle name="Normal 100 7 3" xfId="11398"/>
    <cellStyle name="Normal 100 8" xfId="4614"/>
    <cellStyle name="Normal 100 8 2" xfId="13655"/>
    <cellStyle name="Normal 100 9" xfId="9142"/>
    <cellStyle name="Normal 101" xfId="7"/>
    <cellStyle name="Normal 101 2" xfId="103"/>
    <cellStyle name="Normal 101 2 2" xfId="332"/>
    <cellStyle name="Normal 101 2 2 2" xfId="896"/>
    <cellStyle name="Normal 101 2 2 2 2" xfId="2066"/>
    <cellStyle name="Normal 101 2 2 2 2 2" xfId="2381"/>
    <cellStyle name="Normal 101 2 2 2 2 2 2" xfId="6898"/>
    <cellStyle name="Normal 101 2 2 2 2 2 2 2" xfId="15939"/>
    <cellStyle name="Normal 101 2 2 2 2 2 3" xfId="11426"/>
    <cellStyle name="Normal 101 2 2 2 2 3" xfId="6589"/>
    <cellStyle name="Normal 101 2 2 2 2 3 2" xfId="15630"/>
    <cellStyle name="Normal 101 2 2 2 2 4" xfId="11117"/>
    <cellStyle name="Normal 101 2 2 2 3" xfId="2380"/>
    <cellStyle name="Normal 101 2 2 2 3 2" xfId="6897"/>
    <cellStyle name="Normal 101 2 2 2 3 2 2" xfId="15938"/>
    <cellStyle name="Normal 101 2 2 2 3 3" xfId="11425"/>
    <cellStyle name="Normal 101 2 2 2 4" xfId="5461"/>
    <cellStyle name="Normal 101 2 2 2 4 2" xfId="14502"/>
    <cellStyle name="Normal 101 2 2 2 5" xfId="9989"/>
    <cellStyle name="Normal 101 2 2 3" xfId="1502"/>
    <cellStyle name="Normal 101 2 2 3 2" xfId="2382"/>
    <cellStyle name="Normal 101 2 2 3 2 2" xfId="6899"/>
    <cellStyle name="Normal 101 2 2 3 2 2 2" xfId="15940"/>
    <cellStyle name="Normal 101 2 2 3 2 3" xfId="11427"/>
    <cellStyle name="Normal 101 2 2 3 3" xfId="6025"/>
    <cellStyle name="Normal 101 2 2 3 3 2" xfId="15066"/>
    <cellStyle name="Normal 101 2 2 3 4" xfId="10553"/>
    <cellStyle name="Normal 101 2 2 4" xfId="2379"/>
    <cellStyle name="Normal 101 2 2 4 2" xfId="6896"/>
    <cellStyle name="Normal 101 2 2 4 2 2" xfId="15937"/>
    <cellStyle name="Normal 101 2 2 4 3" xfId="11424"/>
    <cellStyle name="Normal 101 2 2 5" xfId="4897"/>
    <cellStyle name="Normal 101 2 2 5 2" xfId="13938"/>
    <cellStyle name="Normal 101 2 2 6" xfId="9425"/>
    <cellStyle name="Normal 101 2 3" xfId="520"/>
    <cellStyle name="Normal 101 2 3 2" xfId="1084"/>
    <cellStyle name="Normal 101 2 3 2 2" xfId="2254"/>
    <cellStyle name="Normal 101 2 3 2 2 2" xfId="2385"/>
    <cellStyle name="Normal 101 2 3 2 2 2 2" xfId="6902"/>
    <cellStyle name="Normal 101 2 3 2 2 2 2 2" xfId="15943"/>
    <cellStyle name="Normal 101 2 3 2 2 2 3" xfId="11430"/>
    <cellStyle name="Normal 101 2 3 2 2 3" xfId="6777"/>
    <cellStyle name="Normal 101 2 3 2 2 3 2" xfId="15818"/>
    <cellStyle name="Normal 101 2 3 2 2 4" xfId="11305"/>
    <cellStyle name="Normal 101 2 3 2 3" xfId="2384"/>
    <cellStyle name="Normal 101 2 3 2 3 2" xfId="6901"/>
    <cellStyle name="Normal 101 2 3 2 3 2 2" xfId="15942"/>
    <cellStyle name="Normal 101 2 3 2 3 3" xfId="11429"/>
    <cellStyle name="Normal 101 2 3 2 4" xfId="5649"/>
    <cellStyle name="Normal 101 2 3 2 4 2" xfId="14690"/>
    <cellStyle name="Normal 101 2 3 2 5" xfId="10177"/>
    <cellStyle name="Normal 101 2 3 3" xfId="1690"/>
    <cellStyle name="Normal 101 2 3 3 2" xfId="2386"/>
    <cellStyle name="Normal 101 2 3 3 2 2" xfId="6903"/>
    <cellStyle name="Normal 101 2 3 3 2 2 2" xfId="15944"/>
    <cellStyle name="Normal 101 2 3 3 2 3" xfId="11431"/>
    <cellStyle name="Normal 101 2 3 3 3" xfId="6213"/>
    <cellStyle name="Normal 101 2 3 3 3 2" xfId="15254"/>
    <cellStyle name="Normal 101 2 3 3 4" xfId="10741"/>
    <cellStyle name="Normal 101 2 3 4" xfId="2383"/>
    <cellStyle name="Normal 101 2 3 4 2" xfId="6900"/>
    <cellStyle name="Normal 101 2 3 4 2 2" xfId="15941"/>
    <cellStyle name="Normal 101 2 3 4 3" xfId="11428"/>
    <cellStyle name="Normal 101 2 3 5" xfId="5085"/>
    <cellStyle name="Normal 101 2 3 5 2" xfId="14126"/>
    <cellStyle name="Normal 101 2 3 6" xfId="9613"/>
    <cellStyle name="Normal 101 2 4" xfId="708"/>
    <cellStyle name="Normal 101 2 4 2" xfId="1878"/>
    <cellStyle name="Normal 101 2 4 2 2" xfId="2388"/>
    <cellStyle name="Normal 101 2 4 2 2 2" xfId="6905"/>
    <cellStyle name="Normal 101 2 4 2 2 2 2" xfId="15946"/>
    <cellStyle name="Normal 101 2 4 2 2 3" xfId="11433"/>
    <cellStyle name="Normal 101 2 4 2 3" xfId="6401"/>
    <cellStyle name="Normal 101 2 4 2 3 2" xfId="15442"/>
    <cellStyle name="Normal 101 2 4 2 4" xfId="10929"/>
    <cellStyle name="Normal 101 2 4 3" xfId="2387"/>
    <cellStyle name="Normal 101 2 4 3 2" xfId="6904"/>
    <cellStyle name="Normal 101 2 4 3 2 2" xfId="15945"/>
    <cellStyle name="Normal 101 2 4 3 3" xfId="11432"/>
    <cellStyle name="Normal 101 2 4 4" xfId="5273"/>
    <cellStyle name="Normal 101 2 4 4 2" xfId="14314"/>
    <cellStyle name="Normal 101 2 4 5" xfId="9801"/>
    <cellStyle name="Normal 101 2 5" xfId="1314"/>
    <cellStyle name="Normal 101 2 5 2" xfId="2389"/>
    <cellStyle name="Normal 101 2 5 2 2" xfId="6906"/>
    <cellStyle name="Normal 101 2 5 2 2 2" xfId="15947"/>
    <cellStyle name="Normal 101 2 5 2 3" xfId="11434"/>
    <cellStyle name="Normal 101 2 5 3" xfId="5837"/>
    <cellStyle name="Normal 101 2 5 3 2" xfId="14878"/>
    <cellStyle name="Normal 101 2 5 4" xfId="10365"/>
    <cellStyle name="Normal 101 2 6" xfId="2378"/>
    <cellStyle name="Normal 101 2 6 2" xfId="6895"/>
    <cellStyle name="Normal 101 2 6 2 2" xfId="15936"/>
    <cellStyle name="Normal 101 2 6 3" xfId="11423"/>
    <cellStyle name="Normal 101 2 7" xfId="4709"/>
    <cellStyle name="Normal 101 2 7 2" xfId="13750"/>
    <cellStyle name="Normal 101 2 8" xfId="9237"/>
    <cellStyle name="Normal 101 3" xfId="238"/>
    <cellStyle name="Normal 101 3 2" xfId="802"/>
    <cellStyle name="Normal 101 3 2 2" xfId="1972"/>
    <cellStyle name="Normal 101 3 2 2 2" xfId="2392"/>
    <cellStyle name="Normal 101 3 2 2 2 2" xfId="6909"/>
    <cellStyle name="Normal 101 3 2 2 2 2 2" xfId="15950"/>
    <cellStyle name="Normal 101 3 2 2 2 3" xfId="11437"/>
    <cellStyle name="Normal 101 3 2 2 3" xfId="6495"/>
    <cellStyle name="Normal 101 3 2 2 3 2" xfId="15536"/>
    <cellStyle name="Normal 101 3 2 2 4" xfId="11023"/>
    <cellStyle name="Normal 101 3 2 3" xfId="2391"/>
    <cellStyle name="Normal 101 3 2 3 2" xfId="6908"/>
    <cellStyle name="Normal 101 3 2 3 2 2" xfId="15949"/>
    <cellStyle name="Normal 101 3 2 3 3" xfId="11436"/>
    <cellStyle name="Normal 101 3 2 4" xfId="5367"/>
    <cellStyle name="Normal 101 3 2 4 2" xfId="14408"/>
    <cellStyle name="Normal 101 3 2 5" xfId="9895"/>
    <cellStyle name="Normal 101 3 3" xfId="1408"/>
    <cellStyle name="Normal 101 3 3 2" xfId="2393"/>
    <cellStyle name="Normal 101 3 3 2 2" xfId="6910"/>
    <cellStyle name="Normal 101 3 3 2 2 2" xfId="15951"/>
    <cellStyle name="Normal 101 3 3 2 3" xfId="11438"/>
    <cellStyle name="Normal 101 3 3 3" xfId="5931"/>
    <cellStyle name="Normal 101 3 3 3 2" xfId="14972"/>
    <cellStyle name="Normal 101 3 3 4" xfId="10459"/>
    <cellStyle name="Normal 101 3 4" xfId="2390"/>
    <cellStyle name="Normal 101 3 4 2" xfId="6907"/>
    <cellStyle name="Normal 101 3 4 2 2" xfId="15948"/>
    <cellStyle name="Normal 101 3 4 3" xfId="11435"/>
    <cellStyle name="Normal 101 3 5" xfId="4803"/>
    <cellStyle name="Normal 101 3 5 2" xfId="13844"/>
    <cellStyle name="Normal 101 3 6" xfId="9331"/>
    <cellStyle name="Normal 101 4" xfId="426"/>
    <cellStyle name="Normal 101 4 2" xfId="990"/>
    <cellStyle name="Normal 101 4 2 2" xfId="2160"/>
    <cellStyle name="Normal 101 4 2 2 2" xfId="2396"/>
    <cellStyle name="Normal 101 4 2 2 2 2" xfId="6913"/>
    <cellStyle name="Normal 101 4 2 2 2 2 2" xfId="15954"/>
    <cellStyle name="Normal 101 4 2 2 2 3" xfId="11441"/>
    <cellStyle name="Normal 101 4 2 2 3" xfId="6683"/>
    <cellStyle name="Normal 101 4 2 2 3 2" xfId="15724"/>
    <cellStyle name="Normal 101 4 2 2 4" xfId="11211"/>
    <cellStyle name="Normal 101 4 2 3" xfId="2395"/>
    <cellStyle name="Normal 101 4 2 3 2" xfId="6912"/>
    <cellStyle name="Normal 101 4 2 3 2 2" xfId="15953"/>
    <cellStyle name="Normal 101 4 2 3 3" xfId="11440"/>
    <cellStyle name="Normal 101 4 2 4" xfId="5555"/>
    <cellStyle name="Normal 101 4 2 4 2" xfId="14596"/>
    <cellStyle name="Normal 101 4 2 5" xfId="10083"/>
    <cellStyle name="Normal 101 4 3" xfId="1596"/>
    <cellStyle name="Normal 101 4 3 2" xfId="2397"/>
    <cellStyle name="Normal 101 4 3 2 2" xfId="6914"/>
    <cellStyle name="Normal 101 4 3 2 2 2" xfId="15955"/>
    <cellStyle name="Normal 101 4 3 2 3" xfId="11442"/>
    <cellStyle name="Normal 101 4 3 3" xfId="6119"/>
    <cellStyle name="Normal 101 4 3 3 2" xfId="15160"/>
    <cellStyle name="Normal 101 4 3 4" xfId="10647"/>
    <cellStyle name="Normal 101 4 4" xfId="2394"/>
    <cellStyle name="Normal 101 4 4 2" xfId="6911"/>
    <cellStyle name="Normal 101 4 4 2 2" xfId="15952"/>
    <cellStyle name="Normal 101 4 4 3" xfId="11439"/>
    <cellStyle name="Normal 101 4 5" xfId="4991"/>
    <cellStyle name="Normal 101 4 5 2" xfId="14032"/>
    <cellStyle name="Normal 101 4 6" xfId="9519"/>
    <cellStyle name="Normal 101 5" xfId="614"/>
    <cellStyle name="Normal 101 5 2" xfId="1784"/>
    <cellStyle name="Normal 101 5 2 2" xfId="2399"/>
    <cellStyle name="Normal 101 5 2 2 2" xfId="6916"/>
    <cellStyle name="Normal 101 5 2 2 2 2" xfId="15957"/>
    <cellStyle name="Normal 101 5 2 2 3" xfId="11444"/>
    <cellStyle name="Normal 101 5 2 3" xfId="6307"/>
    <cellStyle name="Normal 101 5 2 3 2" xfId="15348"/>
    <cellStyle name="Normal 101 5 2 4" xfId="10835"/>
    <cellStyle name="Normal 101 5 3" xfId="2398"/>
    <cellStyle name="Normal 101 5 3 2" xfId="6915"/>
    <cellStyle name="Normal 101 5 3 2 2" xfId="15956"/>
    <cellStyle name="Normal 101 5 3 3" xfId="11443"/>
    <cellStyle name="Normal 101 5 4" xfId="5179"/>
    <cellStyle name="Normal 101 5 4 2" xfId="14220"/>
    <cellStyle name="Normal 101 5 5" xfId="9707"/>
    <cellStyle name="Normal 101 6" xfId="1220"/>
    <cellStyle name="Normal 101 6 2" xfId="2400"/>
    <cellStyle name="Normal 101 6 2 2" xfId="6917"/>
    <cellStyle name="Normal 101 6 2 2 2" xfId="15958"/>
    <cellStyle name="Normal 101 6 2 3" xfId="11445"/>
    <cellStyle name="Normal 101 6 3" xfId="5743"/>
    <cellStyle name="Normal 101 6 3 2" xfId="14784"/>
    <cellStyle name="Normal 101 6 4" xfId="10271"/>
    <cellStyle name="Normal 101 7" xfId="2377"/>
    <cellStyle name="Normal 101 7 2" xfId="6894"/>
    <cellStyle name="Normal 101 7 2 2" xfId="15935"/>
    <cellStyle name="Normal 101 7 3" xfId="11422"/>
    <cellStyle name="Normal 101 8" xfId="4615"/>
    <cellStyle name="Normal 101 8 2" xfId="13656"/>
    <cellStyle name="Normal 101 9" xfId="9143"/>
    <cellStyle name="Normal 102" xfId="8"/>
    <cellStyle name="Normal 102 2" xfId="104"/>
    <cellStyle name="Normal 102 2 2" xfId="333"/>
    <cellStyle name="Normal 102 2 2 2" xfId="897"/>
    <cellStyle name="Normal 102 2 2 2 2" xfId="2067"/>
    <cellStyle name="Normal 102 2 2 2 2 2" xfId="2405"/>
    <cellStyle name="Normal 102 2 2 2 2 2 2" xfId="6922"/>
    <cellStyle name="Normal 102 2 2 2 2 2 2 2" xfId="15963"/>
    <cellStyle name="Normal 102 2 2 2 2 2 3" xfId="11450"/>
    <cellStyle name="Normal 102 2 2 2 2 3" xfId="6590"/>
    <cellStyle name="Normal 102 2 2 2 2 3 2" xfId="15631"/>
    <cellStyle name="Normal 102 2 2 2 2 4" xfId="11118"/>
    <cellStyle name="Normal 102 2 2 2 3" xfId="2404"/>
    <cellStyle name="Normal 102 2 2 2 3 2" xfId="6921"/>
    <cellStyle name="Normal 102 2 2 2 3 2 2" xfId="15962"/>
    <cellStyle name="Normal 102 2 2 2 3 3" xfId="11449"/>
    <cellStyle name="Normal 102 2 2 2 4" xfId="5462"/>
    <cellStyle name="Normal 102 2 2 2 4 2" xfId="14503"/>
    <cellStyle name="Normal 102 2 2 2 5" xfId="9990"/>
    <cellStyle name="Normal 102 2 2 3" xfId="1503"/>
    <cellStyle name="Normal 102 2 2 3 2" xfId="2406"/>
    <cellStyle name="Normal 102 2 2 3 2 2" xfId="6923"/>
    <cellStyle name="Normal 102 2 2 3 2 2 2" xfId="15964"/>
    <cellStyle name="Normal 102 2 2 3 2 3" xfId="11451"/>
    <cellStyle name="Normal 102 2 2 3 3" xfId="6026"/>
    <cellStyle name="Normal 102 2 2 3 3 2" xfId="15067"/>
    <cellStyle name="Normal 102 2 2 3 4" xfId="10554"/>
    <cellStyle name="Normal 102 2 2 4" xfId="2403"/>
    <cellStyle name="Normal 102 2 2 4 2" xfId="6920"/>
    <cellStyle name="Normal 102 2 2 4 2 2" xfId="15961"/>
    <cellStyle name="Normal 102 2 2 4 3" xfId="11448"/>
    <cellStyle name="Normal 102 2 2 5" xfId="4898"/>
    <cellStyle name="Normal 102 2 2 5 2" xfId="13939"/>
    <cellStyle name="Normal 102 2 2 6" xfId="9426"/>
    <cellStyle name="Normal 102 2 3" xfId="521"/>
    <cellStyle name="Normal 102 2 3 2" xfId="1085"/>
    <cellStyle name="Normal 102 2 3 2 2" xfId="2255"/>
    <cellStyle name="Normal 102 2 3 2 2 2" xfId="2409"/>
    <cellStyle name="Normal 102 2 3 2 2 2 2" xfId="6926"/>
    <cellStyle name="Normal 102 2 3 2 2 2 2 2" xfId="15967"/>
    <cellStyle name="Normal 102 2 3 2 2 2 3" xfId="11454"/>
    <cellStyle name="Normal 102 2 3 2 2 3" xfId="6778"/>
    <cellStyle name="Normal 102 2 3 2 2 3 2" xfId="15819"/>
    <cellStyle name="Normal 102 2 3 2 2 4" xfId="11306"/>
    <cellStyle name="Normal 102 2 3 2 3" xfId="2408"/>
    <cellStyle name="Normal 102 2 3 2 3 2" xfId="6925"/>
    <cellStyle name="Normal 102 2 3 2 3 2 2" xfId="15966"/>
    <cellStyle name="Normal 102 2 3 2 3 3" xfId="11453"/>
    <cellStyle name="Normal 102 2 3 2 4" xfId="5650"/>
    <cellStyle name="Normal 102 2 3 2 4 2" xfId="14691"/>
    <cellStyle name="Normal 102 2 3 2 5" xfId="10178"/>
    <cellStyle name="Normal 102 2 3 3" xfId="1691"/>
    <cellStyle name="Normal 102 2 3 3 2" xfId="2410"/>
    <cellStyle name="Normal 102 2 3 3 2 2" xfId="6927"/>
    <cellStyle name="Normal 102 2 3 3 2 2 2" xfId="15968"/>
    <cellStyle name="Normal 102 2 3 3 2 3" xfId="11455"/>
    <cellStyle name="Normal 102 2 3 3 3" xfId="6214"/>
    <cellStyle name="Normal 102 2 3 3 3 2" xfId="15255"/>
    <cellStyle name="Normal 102 2 3 3 4" xfId="10742"/>
    <cellStyle name="Normal 102 2 3 4" xfId="2407"/>
    <cellStyle name="Normal 102 2 3 4 2" xfId="6924"/>
    <cellStyle name="Normal 102 2 3 4 2 2" xfId="15965"/>
    <cellStyle name="Normal 102 2 3 4 3" xfId="11452"/>
    <cellStyle name="Normal 102 2 3 5" xfId="5086"/>
    <cellStyle name="Normal 102 2 3 5 2" xfId="14127"/>
    <cellStyle name="Normal 102 2 3 6" xfId="9614"/>
    <cellStyle name="Normal 102 2 4" xfId="709"/>
    <cellStyle name="Normal 102 2 4 2" xfId="1879"/>
    <cellStyle name="Normal 102 2 4 2 2" xfId="2412"/>
    <cellStyle name="Normal 102 2 4 2 2 2" xfId="6929"/>
    <cellStyle name="Normal 102 2 4 2 2 2 2" xfId="15970"/>
    <cellStyle name="Normal 102 2 4 2 2 3" xfId="11457"/>
    <cellStyle name="Normal 102 2 4 2 3" xfId="6402"/>
    <cellStyle name="Normal 102 2 4 2 3 2" xfId="15443"/>
    <cellStyle name="Normal 102 2 4 2 4" xfId="10930"/>
    <cellStyle name="Normal 102 2 4 3" xfId="2411"/>
    <cellStyle name="Normal 102 2 4 3 2" xfId="6928"/>
    <cellStyle name="Normal 102 2 4 3 2 2" xfId="15969"/>
    <cellStyle name="Normal 102 2 4 3 3" xfId="11456"/>
    <cellStyle name="Normal 102 2 4 4" xfId="5274"/>
    <cellStyle name="Normal 102 2 4 4 2" xfId="14315"/>
    <cellStyle name="Normal 102 2 4 5" xfId="9802"/>
    <cellStyle name="Normal 102 2 5" xfId="1315"/>
    <cellStyle name="Normal 102 2 5 2" xfId="2413"/>
    <cellStyle name="Normal 102 2 5 2 2" xfId="6930"/>
    <cellStyle name="Normal 102 2 5 2 2 2" xfId="15971"/>
    <cellStyle name="Normal 102 2 5 2 3" xfId="11458"/>
    <cellStyle name="Normal 102 2 5 3" xfId="5838"/>
    <cellStyle name="Normal 102 2 5 3 2" xfId="14879"/>
    <cellStyle name="Normal 102 2 5 4" xfId="10366"/>
    <cellStyle name="Normal 102 2 6" xfId="2402"/>
    <cellStyle name="Normal 102 2 6 2" xfId="6919"/>
    <cellStyle name="Normal 102 2 6 2 2" xfId="15960"/>
    <cellStyle name="Normal 102 2 6 3" xfId="11447"/>
    <cellStyle name="Normal 102 2 7" xfId="4710"/>
    <cellStyle name="Normal 102 2 7 2" xfId="13751"/>
    <cellStyle name="Normal 102 2 8" xfId="9238"/>
    <cellStyle name="Normal 102 3" xfId="239"/>
    <cellStyle name="Normal 102 3 2" xfId="803"/>
    <cellStyle name="Normal 102 3 2 2" xfId="1973"/>
    <cellStyle name="Normal 102 3 2 2 2" xfId="2416"/>
    <cellStyle name="Normal 102 3 2 2 2 2" xfId="6933"/>
    <cellStyle name="Normal 102 3 2 2 2 2 2" xfId="15974"/>
    <cellStyle name="Normal 102 3 2 2 2 3" xfId="11461"/>
    <cellStyle name="Normal 102 3 2 2 3" xfId="6496"/>
    <cellStyle name="Normal 102 3 2 2 3 2" xfId="15537"/>
    <cellStyle name="Normal 102 3 2 2 4" xfId="11024"/>
    <cellStyle name="Normal 102 3 2 3" xfId="2415"/>
    <cellStyle name="Normal 102 3 2 3 2" xfId="6932"/>
    <cellStyle name="Normal 102 3 2 3 2 2" xfId="15973"/>
    <cellStyle name="Normal 102 3 2 3 3" xfId="11460"/>
    <cellStyle name="Normal 102 3 2 4" xfId="5368"/>
    <cellStyle name="Normal 102 3 2 4 2" xfId="14409"/>
    <cellStyle name="Normal 102 3 2 5" xfId="9896"/>
    <cellStyle name="Normal 102 3 3" xfId="1409"/>
    <cellStyle name="Normal 102 3 3 2" xfId="2417"/>
    <cellStyle name="Normal 102 3 3 2 2" xfId="6934"/>
    <cellStyle name="Normal 102 3 3 2 2 2" xfId="15975"/>
    <cellStyle name="Normal 102 3 3 2 3" xfId="11462"/>
    <cellStyle name="Normal 102 3 3 3" xfId="5932"/>
    <cellStyle name="Normal 102 3 3 3 2" xfId="14973"/>
    <cellStyle name="Normal 102 3 3 4" xfId="10460"/>
    <cellStyle name="Normal 102 3 4" xfId="2414"/>
    <cellStyle name="Normal 102 3 4 2" xfId="6931"/>
    <cellStyle name="Normal 102 3 4 2 2" xfId="15972"/>
    <cellStyle name="Normal 102 3 4 3" xfId="11459"/>
    <cellStyle name="Normal 102 3 5" xfId="4804"/>
    <cellStyle name="Normal 102 3 5 2" xfId="13845"/>
    <cellStyle name="Normal 102 3 6" xfId="9332"/>
    <cellStyle name="Normal 102 4" xfId="427"/>
    <cellStyle name="Normal 102 4 2" xfId="991"/>
    <cellStyle name="Normal 102 4 2 2" xfId="2161"/>
    <cellStyle name="Normal 102 4 2 2 2" xfId="2420"/>
    <cellStyle name="Normal 102 4 2 2 2 2" xfId="6937"/>
    <cellStyle name="Normal 102 4 2 2 2 2 2" xfId="15978"/>
    <cellStyle name="Normal 102 4 2 2 2 3" xfId="11465"/>
    <cellStyle name="Normal 102 4 2 2 3" xfId="6684"/>
    <cellStyle name="Normal 102 4 2 2 3 2" xfId="15725"/>
    <cellStyle name="Normal 102 4 2 2 4" xfId="11212"/>
    <cellStyle name="Normal 102 4 2 3" xfId="2419"/>
    <cellStyle name="Normal 102 4 2 3 2" xfId="6936"/>
    <cellStyle name="Normal 102 4 2 3 2 2" xfId="15977"/>
    <cellStyle name="Normal 102 4 2 3 3" xfId="11464"/>
    <cellStyle name="Normal 102 4 2 4" xfId="5556"/>
    <cellStyle name="Normal 102 4 2 4 2" xfId="14597"/>
    <cellStyle name="Normal 102 4 2 5" xfId="10084"/>
    <cellStyle name="Normal 102 4 3" xfId="1597"/>
    <cellStyle name="Normal 102 4 3 2" xfId="2421"/>
    <cellStyle name="Normal 102 4 3 2 2" xfId="6938"/>
    <cellStyle name="Normal 102 4 3 2 2 2" xfId="15979"/>
    <cellStyle name="Normal 102 4 3 2 3" xfId="11466"/>
    <cellStyle name="Normal 102 4 3 3" xfId="6120"/>
    <cellStyle name="Normal 102 4 3 3 2" xfId="15161"/>
    <cellStyle name="Normal 102 4 3 4" xfId="10648"/>
    <cellStyle name="Normal 102 4 4" xfId="2418"/>
    <cellStyle name="Normal 102 4 4 2" xfId="6935"/>
    <cellStyle name="Normal 102 4 4 2 2" xfId="15976"/>
    <cellStyle name="Normal 102 4 4 3" xfId="11463"/>
    <cellStyle name="Normal 102 4 5" xfId="4992"/>
    <cellStyle name="Normal 102 4 5 2" xfId="14033"/>
    <cellStyle name="Normal 102 4 6" xfId="9520"/>
    <cellStyle name="Normal 102 5" xfId="615"/>
    <cellStyle name="Normal 102 5 2" xfId="1785"/>
    <cellStyle name="Normal 102 5 2 2" xfId="2423"/>
    <cellStyle name="Normal 102 5 2 2 2" xfId="6940"/>
    <cellStyle name="Normal 102 5 2 2 2 2" xfId="15981"/>
    <cellStyle name="Normal 102 5 2 2 3" xfId="11468"/>
    <cellStyle name="Normal 102 5 2 3" xfId="6308"/>
    <cellStyle name="Normal 102 5 2 3 2" xfId="15349"/>
    <cellStyle name="Normal 102 5 2 4" xfId="10836"/>
    <cellStyle name="Normal 102 5 3" xfId="2422"/>
    <cellStyle name="Normal 102 5 3 2" xfId="6939"/>
    <cellStyle name="Normal 102 5 3 2 2" xfId="15980"/>
    <cellStyle name="Normal 102 5 3 3" xfId="11467"/>
    <cellStyle name="Normal 102 5 4" xfId="5180"/>
    <cellStyle name="Normal 102 5 4 2" xfId="14221"/>
    <cellStyle name="Normal 102 5 5" xfId="9708"/>
    <cellStyle name="Normal 102 6" xfId="1221"/>
    <cellStyle name="Normal 102 6 2" xfId="2424"/>
    <cellStyle name="Normal 102 6 2 2" xfId="6941"/>
    <cellStyle name="Normal 102 6 2 2 2" xfId="15982"/>
    <cellStyle name="Normal 102 6 2 3" xfId="11469"/>
    <cellStyle name="Normal 102 6 3" xfId="5744"/>
    <cellStyle name="Normal 102 6 3 2" xfId="14785"/>
    <cellStyle name="Normal 102 6 4" xfId="10272"/>
    <cellStyle name="Normal 102 7" xfId="2401"/>
    <cellStyle name="Normal 102 7 2" xfId="6918"/>
    <cellStyle name="Normal 102 7 2 2" xfId="15959"/>
    <cellStyle name="Normal 102 7 3" xfId="11446"/>
    <cellStyle name="Normal 102 8" xfId="4616"/>
    <cellStyle name="Normal 102 8 2" xfId="13657"/>
    <cellStyle name="Normal 102 9" xfId="9144"/>
    <cellStyle name="Normal 103" xfId="9"/>
    <cellStyle name="Normal 103 2" xfId="105"/>
    <cellStyle name="Normal 103 2 2" xfId="334"/>
    <cellStyle name="Normal 103 2 2 2" xfId="898"/>
    <cellStyle name="Normal 103 2 2 2 2" xfId="2068"/>
    <cellStyle name="Normal 103 2 2 2 2 2" xfId="2429"/>
    <cellStyle name="Normal 103 2 2 2 2 2 2" xfId="6946"/>
    <cellStyle name="Normal 103 2 2 2 2 2 2 2" xfId="15987"/>
    <cellStyle name="Normal 103 2 2 2 2 2 3" xfId="11474"/>
    <cellStyle name="Normal 103 2 2 2 2 3" xfId="6591"/>
    <cellStyle name="Normal 103 2 2 2 2 3 2" xfId="15632"/>
    <cellStyle name="Normal 103 2 2 2 2 4" xfId="11119"/>
    <cellStyle name="Normal 103 2 2 2 3" xfId="2428"/>
    <cellStyle name="Normal 103 2 2 2 3 2" xfId="6945"/>
    <cellStyle name="Normal 103 2 2 2 3 2 2" xfId="15986"/>
    <cellStyle name="Normal 103 2 2 2 3 3" xfId="11473"/>
    <cellStyle name="Normal 103 2 2 2 4" xfId="5463"/>
    <cellStyle name="Normal 103 2 2 2 4 2" xfId="14504"/>
    <cellStyle name="Normal 103 2 2 2 5" xfId="9991"/>
    <cellStyle name="Normal 103 2 2 3" xfId="1504"/>
    <cellStyle name="Normal 103 2 2 3 2" xfId="2430"/>
    <cellStyle name="Normal 103 2 2 3 2 2" xfId="6947"/>
    <cellStyle name="Normal 103 2 2 3 2 2 2" xfId="15988"/>
    <cellStyle name="Normal 103 2 2 3 2 3" xfId="11475"/>
    <cellStyle name="Normal 103 2 2 3 3" xfId="6027"/>
    <cellStyle name="Normal 103 2 2 3 3 2" xfId="15068"/>
    <cellStyle name="Normal 103 2 2 3 4" xfId="10555"/>
    <cellStyle name="Normal 103 2 2 4" xfId="2427"/>
    <cellStyle name="Normal 103 2 2 4 2" xfId="6944"/>
    <cellStyle name="Normal 103 2 2 4 2 2" xfId="15985"/>
    <cellStyle name="Normal 103 2 2 4 3" xfId="11472"/>
    <cellStyle name="Normal 103 2 2 5" xfId="4899"/>
    <cellStyle name="Normal 103 2 2 5 2" xfId="13940"/>
    <cellStyle name="Normal 103 2 2 6" xfId="9427"/>
    <cellStyle name="Normal 103 2 3" xfId="522"/>
    <cellStyle name="Normal 103 2 3 2" xfId="1086"/>
    <cellStyle name="Normal 103 2 3 2 2" xfId="2256"/>
    <cellStyle name="Normal 103 2 3 2 2 2" xfId="2433"/>
    <cellStyle name="Normal 103 2 3 2 2 2 2" xfId="6950"/>
    <cellStyle name="Normal 103 2 3 2 2 2 2 2" xfId="15991"/>
    <cellStyle name="Normal 103 2 3 2 2 2 3" xfId="11478"/>
    <cellStyle name="Normal 103 2 3 2 2 3" xfId="6779"/>
    <cellStyle name="Normal 103 2 3 2 2 3 2" xfId="15820"/>
    <cellStyle name="Normal 103 2 3 2 2 4" xfId="11307"/>
    <cellStyle name="Normal 103 2 3 2 3" xfId="2432"/>
    <cellStyle name="Normal 103 2 3 2 3 2" xfId="6949"/>
    <cellStyle name="Normal 103 2 3 2 3 2 2" xfId="15990"/>
    <cellStyle name="Normal 103 2 3 2 3 3" xfId="11477"/>
    <cellStyle name="Normal 103 2 3 2 4" xfId="5651"/>
    <cellStyle name="Normal 103 2 3 2 4 2" xfId="14692"/>
    <cellStyle name="Normal 103 2 3 2 5" xfId="10179"/>
    <cellStyle name="Normal 103 2 3 3" xfId="1692"/>
    <cellStyle name="Normal 103 2 3 3 2" xfId="2434"/>
    <cellStyle name="Normal 103 2 3 3 2 2" xfId="6951"/>
    <cellStyle name="Normal 103 2 3 3 2 2 2" xfId="15992"/>
    <cellStyle name="Normal 103 2 3 3 2 3" xfId="11479"/>
    <cellStyle name="Normal 103 2 3 3 3" xfId="6215"/>
    <cellStyle name="Normal 103 2 3 3 3 2" xfId="15256"/>
    <cellStyle name="Normal 103 2 3 3 4" xfId="10743"/>
    <cellStyle name="Normal 103 2 3 4" xfId="2431"/>
    <cellStyle name="Normal 103 2 3 4 2" xfId="6948"/>
    <cellStyle name="Normal 103 2 3 4 2 2" xfId="15989"/>
    <cellStyle name="Normal 103 2 3 4 3" xfId="11476"/>
    <cellStyle name="Normal 103 2 3 5" xfId="5087"/>
    <cellStyle name="Normal 103 2 3 5 2" xfId="14128"/>
    <cellStyle name="Normal 103 2 3 6" xfId="9615"/>
    <cellStyle name="Normal 103 2 4" xfId="710"/>
    <cellStyle name="Normal 103 2 4 2" xfId="1880"/>
    <cellStyle name="Normal 103 2 4 2 2" xfId="2436"/>
    <cellStyle name="Normal 103 2 4 2 2 2" xfId="6953"/>
    <cellStyle name="Normal 103 2 4 2 2 2 2" xfId="15994"/>
    <cellStyle name="Normal 103 2 4 2 2 3" xfId="11481"/>
    <cellStyle name="Normal 103 2 4 2 3" xfId="6403"/>
    <cellStyle name="Normal 103 2 4 2 3 2" xfId="15444"/>
    <cellStyle name="Normal 103 2 4 2 4" xfId="10931"/>
    <cellStyle name="Normal 103 2 4 3" xfId="2435"/>
    <cellStyle name="Normal 103 2 4 3 2" xfId="6952"/>
    <cellStyle name="Normal 103 2 4 3 2 2" xfId="15993"/>
    <cellStyle name="Normal 103 2 4 3 3" xfId="11480"/>
    <cellStyle name="Normal 103 2 4 4" xfId="5275"/>
    <cellStyle name="Normal 103 2 4 4 2" xfId="14316"/>
    <cellStyle name="Normal 103 2 4 5" xfId="9803"/>
    <cellStyle name="Normal 103 2 5" xfId="1316"/>
    <cellStyle name="Normal 103 2 5 2" xfId="2437"/>
    <cellStyle name="Normal 103 2 5 2 2" xfId="6954"/>
    <cellStyle name="Normal 103 2 5 2 2 2" xfId="15995"/>
    <cellStyle name="Normal 103 2 5 2 3" xfId="11482"/>
    <cellStyle name="Normal 103 2 5 3" xfId="5839"/>
    <cellStyle name="Normal 103 2 5 3 2" xfId="14880"/>
    <cellStyle name="Normal 103 2 5 4" xfId="10367"/>
    <cellStyle name="Normal 103 2 6" xfId="2426"/>
    <cellStyle name="Normal 103 2 6 2" xfId="6943"/>
    <cellStyle name="Normal 103 2 6 2 2" xfId="15984"/>
    <cellStyle name="Normal 103 2 6 3" xfId="11471"/>
    <cellStyle name="Normal 103 2 7" xfId="4711"/>
    <cellStyle name="Normal 103 2 7 2" xfId="13752"/>
    <cellStyle name="Normal 103 2 8" xfId="9239"/>
    <cellStyle name="Normal 103 3" xfId="240"/>
    <cellStyle name="Normal 103 3 2" xfId="804"/>
    <cellStyle name="Normal 103 3 2 2" xfId="1974"/>
    <cellStyle name="Normal 103 3 2 2 2" xfId="2440"/>
    <cellStyle name="Normal 103 3 2 2 2 2" xfId="6957"/>
    <cellStyle name="Normal 103 3 2 2 2 2 2" xfId="15998"/>
    <cellStyle name="Normal 103 3 2 2 2 3" xfId="11485"/>
    <cellStyle name="Normal 103 3 2 2 3" xfId="6497"/>
    <cellStyle name="Normal 103 3 2 2 3 2" xfId="15538"/>
    <cellStyle name="Normal 103 3 2 2 4" xfId="11025"/>
    <cellStyle name="Normal 103 3 2 3" xfId="2439"/>
    <cellStyle name="Normal 103 3 2 3 2" xfId="6956"/>
    <cellStyle name="Normal 103 3 2 3 2 2" xfId="15997"/>
    <cellStyle name="Normal 103 3 2 3 3" xfId="11484"/>
    <cellStyle name="Normal 103 3 2 4" xfId="5369"/>
    <cellStyle name="Normal 103 3 2 4 2" xfId="14410"/>
    <cellStyle name="Normal 103 3 2 5" xfId="9897"/>
    <cellStyle name="Normal 103 3 3" xfId="1410"/>
    <cellStyle name="Normal 103 3 3 2" xfId="2441"/>
    <cellStyle name="Normal 103 3 3 2 2" xfId="6958"/>
    <cellStyle name="Normal 103 3 3 2 2 2" xfId="15999"/>
    <cellStyle name="Normal 103 3 3 2 3" xfId="11486"/>
    <cellStyle name="Normal 103 3 3 3" xfId="5933"/>
    <cellStyle name="Normal 103 3 3 3 2" xfId="14974"/>
    <cellStyle name="Normal 103 3 3 4" xfId="10461"/>
    <cellStyle name="Normal 103 3 4" xfId="2438"/>
    <cellStyle name="Normal 103 3 4 2" xfId="6955"/>
    <cellStyle name="Normal 103 3 4 2 2" xfId="15996"/>
    <cellStyle name="Normal 103 3 4 3" xfId="11483"/>
    <cellStyle name="Normal 103 3 5" xfId="4805"/>
    <cellStyle name="Normal 103 3 5 2" xfId="13846"/>
    <cellStyle name="Normal 103 3 6" xfId="9333"/>
    <cellStyle name="Normal 103 4" xfId="428"/>
    <cellStyle name="Normal 103 4 2" xfId="992"/>
    <cellStyle name="Normal 103 4 2 2" xfId="2162"/>
    <cellStyle name="Normal 103 4 2 2 2" xfId="2444"/>
    <cellStyle name="Normal 103 4 2 2 2 2" xfId="6961"/>
    <cellStyle name="Normal 103 4 2 2 2 2 2" xfId="16002"/>
    <cellStyle name="Normal 103 4 2 2 2 3" xfId="11489"/>
    <cellStyle name="Normal 103 4 2 2 3" xfId="6685"/>
    <cellStyle name="Normal 103 4 2 2 3 2" xfId="15726"/>
    <cellStyle name="Normal 103 4 2 2 4" xfId="11213"/>
    <cellStyle name="Normal 103 4 2 3" xfId="2443"/>
    <cellStyle name="Normal 103 4 2 3 2" xfId="6960"/>
    <cellStyle name="Normal 103 4 2 3 2 2" xfId="16001"/>
    <cellStyle name="Normal 103 4 2 3 3" xfId="11488"/>
    <cellStyle name="Normal 103 4 2 4" xfId="5557"/>
    <cellStyle name="Normal 103 4 2 4 2" xfId="14598"/>
    <cellStyle name="Normal 103 4 2 5" xfId="10085"/>
    <cellStyle name="Normal 103 4 3" xfId="1598"/>
    <cellStyle name="Normal 103 4 3 2" xfId="2445"/>
    <cellStyle name="Normal 103 4 3 2 2" xfId="6962"/>
    <cellStyle name="Normal 103 4 3 2 2 2" xfId="16003"/>
    <cellStyle name="Normal 103 4 3 2 3" xfId="11490"/>
    <cellStyle name="Normal 103 4 3 3" xfId="6121"/>
    <cellStyle name="Normal 103 4 3 3 2" xfId="15162"/>
    <cellStyle name="Normal 103 4 3 4" xfId="10649"/>
    <cellStyle name="Normal 103 4 4" xfId="2442"/>
    <cellStyle name="Normal 103 4 4 2" xfId="6959"/>
    <cellStyle name="Normal 103 4 4 2 2" xfId="16000"/>
    <cellStyle name="Normal 103 4 4 3" xfId="11487"/>
    <cellStyle name="Normal 103 4 5" xfId="4993"/>
    <cellStyle name="Normal 103 4 5 2" xfId="14034"/>
    <cellStyle name="Normal 103 4 6" xfId="9521"/>
    <cellStyle name="Normal 103 5" xfId="616"/>
    <cellStyle name="Normal 103 5 2" xfId="1786"/>
    <cellStyle name="Normal 103 5 2 2" xfId="2447"/>
    <cellStyle name="Normal 103 5 2 2 2" xfId="6964"/>
    <cellStyle name="Normal 103 5 2 2 2 2" xfId="16005"/>
    <cellStyle name="Normal 103 5 2 2 3" xfId="11492"/>
    <cellStyle name="Normal 103 5 2 3" xfId="6309"/>
    <cellStyle name="Normal 103 5 2 3 2" xfId="15350"/>
    <cellStyle name="Normal 103 5 2 4" xfId="10837"/>
    <cellStyle name="Normal 103 5 3" xfId="2446"/>
    <cellStyle name="Normal 103 5 3 2" xfId="6963"/>
    <cellStyle name="Normal 103 5 3 2 2" xfId="16004"/>
    <cellStyle name="Normal 103 5 3 3" xfId="11491"/>
    <cellStyle name="Normal 103 5 4" xfId="5181"/>
    <cellStyle name="Normal 103 5 4 2" xfId="14222"/>
    <cellStyle name="Normal 103 5 5" xfId="9709"/>
    <cellStyle name="Normal 103 6" xfId="1222"/>
    <cellStyle name="Normal 103 6 2" xfId="2448"/>
    <cellStyle name="Normal 103 6 2 2" xfId="6965"/>
    <cellStyle name="Normal 103 6 2 2 2" xfId="16006"/>
    <cellStyle name="Normal 103 6 2 3" xfId="11493"/>
    <cellStyle name="Normal 103 6 3" xfId="5745"/>
    <cellStyle name="Normal 103 6 3 2" xfId="14786"/>
    <cellStyle name="Normal 103 6 4" xfId="10273"/>
    <cellStyle name="Normal 103 7" xfId="2425"/>
    <cellStyle name="Normal 103 7 2" xfId="6942"/>
    <cellStyle name="Normal 103 7 2 2" xfId="15983"/>
    <cellStyle name="Normal 103 7 3" xfId="11470"/>
    <cellStyle name="Normal 103 8" xfId="4617"/>
    <cellStyle name="Normal 103 8 2" xfId="13658"/>
    <cellStyle name="Normal 103 9" xfId="9145"/>
    <cellStyle name="Normal 104" xfId="10"/>
    <cellStyle name="Normal 104 2" xfId="106"/>
    <cellStyle name="Normal 104 2 2" xfId="335"/>
    <cellStyle name="Normal 104 2 2 2" xfId="899"/>
    <cellStyle name="Normal 104 2 2 2 2" xfId="2069"/>
    <cellStyle name="Normal 104 2 2 2 2 2" xfId="2453"/>
    <cellStyle name="Normal 104 2 2 2 2 2 2" xfId="6970"/>
    <cellStyle name="Normal 104 2 2 2 2 2 2 2" xfId="16011"/>
    <cellStyle name="Normal 104 2 2 2 2 2 3" xfId="11498"/>
    <cellStyle name="Normal 104 2 2 2 2 3" xfId="6592"/>
    <cellStyle name="Normal 104 2 2 2 2 3 2" xfId="15633"/>
    <cellStyle name="Normal 104 2 2 2 2 4" xfId="11120"/>
    <cellStyle name="Normal 104 2 2 2 3" xfId="2452"/>
    <cellStyle name="Normal 104 2 2 2 3 2" xfId="6969"/>
    <cellStyle name="Normal 104 2 2 2 3 2 2" xfId="16010"/>
    <cellStyle name="Normal 104 2 2 2 3 3" xfId="11497"/>
    <cellStyle name="Normal 104 2 2 2 4" xfId="5464"/>
    <cellStyle name="Normal 104 2 2 2 4 2" xfId="14505"/>
    <cellStyle name="Normal 104 2 2 2 5" xfId="9992"/>
    <cellStyle name="Normal 104 2 2 3" xfId="1505"/>
    <cellStyle name="Normal 104 2 2 3 2" xfId="2454"/>
    <cellStyle name="Normal 104 2 2 3 2 2" xfId="6971"/>
    <cellStyle name="Normal 104 2 2 3 2 2 2" xfId="16012"/>
    <cellStyle name="Normal 104 2 2 3 2 3" xfId="11499"/>
    <cellStyle name="Normal 104 2 2 3 3" xfId="6028"/>
    <cellStyle name="Normal 104 2 2 3 3 2" xfId="15069"/>
    <cellStyle name="Normal 104 2 2 3 4" xfId="10556"/>
    <cellStyle name="Normal 104 2 2 4" xfId="2451"/>
    <cellStyle name="Normal 104 2 2 4 2" xfId="6968"/>
    <cellStyle name="Normal 104 2 2 4 2 2" xfId="16009"/>
    <cellStyle name="Normal 104 2 2 4 3" xfId="11496"/>
    <cellStyle name="Normal 104 2 2 5" xfId="4900"/>
    <cellStyle name="Normal 104 2 2 5 2" xfId="13941"/>
    <cellStyle name="Normal 104 2 2 6" xfId="9428"/>
    <cellStyle name="Normal 104 2 3" xfId="523"/>
    <cellStyle name="Normal 104 2 3 2" xfId="1087"/>
    <cellStyle name="Normal 104 2 3 2 2" xfId="2257"/>
    <cellStyle name="Normal 104 2 3 2 2 2" xfId="2457"/>
    <cellStyle name="Normal 104 2 3 2 2 2 2" xfId="6974"/>
    <cellStyle name="Normal 104 2 3 2 2 2 2 2" xfId="16015"/>
    <cellStyle name="Normal 104 2 3 2 2 2 3" xfId="11502"/>
    <cellStyle name="Normal 104 2 3 2 2 3" xfId="6780"/>
    <cellStyle name="Normal 104 2 3 2 2 3 2" xfId="15821"/>
    <cellStyle name="Normal 104 2 3 2 2 4" xfId="11308"/>
    <cellStyle name="Normal 104 2 3 2 3" xfId="2456"/>
    <cellStyle name="Normal 104 2 3 2 3 2" xfId="6973"/>
    <cellStyle name="Normal 104 2 3 2 3 2 2" xfId="16014"/>
    <cellStyle name="Normal 104 2 3 2 3 3" xfId="11501"/>
    <cellStyle name="Normal 104 2 3 2 4" xfId="5652"/>
    <cellStyle name="Normal 104 2 3 2 4 2" xfId="14693"/>
    <cellStyle name="Normal 104 2 3 2 5" xfId="10180"/>
    <cellStyle name="Normal 104 2 3 3" xfId="1693"/>
    <cellStyle name="Normal 104 2 3 3 2" xfId="2458"/>
    <cellStyle name="Normal 104 2 3 3 2 2" xfId="6975"/>
    <cellStyle name="Normal 104 2 3 3 2 2 2" xfId="16016"/>
    <cellStyle name="Normal 104 2 3 3 2 3" xfId="11503"/>
    <cellStyle name="Normal 104 2 3 3 3" xfId="6216"/>
    <cellStyle name="Normal 104 2 3 3 3 2" xfId="15257"/>
    <cellStyle name="Normal 104 2 3 3 4" xfId="10744"/>
    <cellStyle name="Normal 104 2 3 4" xfId="2455"/>
    <cellStyle name="Normal 104 2 3 4 2" xfId="6972"/>
    <cellStyle name="Normal 104 2 3 4 2 2" xfId="16013"/>
    <cellStyle name="Normal 104 2 3 4 3" xfId="11500"/>
    <cellStyle name="Normal 104 2 3 5" xfId="5088"/>
    <cellStyle name="Normal 104 2 3 5 2" xfId="14129"/>
    <cellStyle name="Normal 104 2 3 6" xfId="9616"/>
    <cellStyle name="Normal 104 2 4" xfId="711"/>
    <cellStyle name="Normal 104 2 4 2" xfId="1881"/>
    <cellStyle name="Normal 104 2 4 2 2" xfId="2460"/>
    <cellStyle name="Normal 104 2 4 2 2 2" xfId="6977"/>
    <cellStyle name="Normal 104 2 4 2 2 2 2" xfId="16018"/>
    <cellStyle name="Normal 104 2 4 2 2 3" xfId="11505"/>
    <cellStyle name="Normal 104 2 4 2 3" xfId="6404"/>
    <cellStyle name="Normal 104 2 4 2 3 2" xfId="15445"/>
    <cellStyle name="Normal 104 2 4 2 4" xfId="10932"/>
    <cellStyle name="Normal 104 2 4 3" xfId="2459"/>
    <cellStyle name="Normal 104 2 4 3 2" xfId="6976"/>
    <cellStyle name="Normal 104 2 4 3 2 2" xfId="16017"/>
    <cellStyle name="Normal 104 2 4 3 3" xfId="11504"/>
    <cellStyle name="Normal 104 2 4 4" xfId="5276"/>
    <cellStyle name="Normal 104 2 4 4 2" xfId="14317"/>
    <cellStyle name="Normal 104 2 4 5" xfId="9804"/>
    <cellStyle name="Normal 104 2 5" xfId="1317"/>
    <cellStyle name="Normal 104 2 5 2" xfId="2461"/>
    <cellStyle name="Normal 104 2 5 2 2" xfId="6978"/>
    <cellStyle name="Normal 104 2 5 2 2 2" xfId="16019"/>
    <cellStyle name="Normal 104 2 5 2 3" xfId="11506"/>
    <cellStyle name="Normal 104 2 5 3" xfId="5840"/>
    <cellStyle name="Normal 104 2 5 3 2" xfId="14881"/>
    <cellStyle name="Normal 104 2 5 4" xfId="10368"/>
    <cellStyle name="Normal 104 2 6" xfId="2450"/>
    <cellStyle name="Normal 104 2 6 2" xfId="6967"/>
    <cellStyle name="Normal 104 2 6 2 2" xfId="16008"/>
    <cellStyle name="Normal 104 2 6 3" xfId="11495"/>
    <cellStyle name="Normal 104 2 7" xfId="4712"/>
    <cellStyle name="Normal 104 2 7 2" xfId="13753"/>
    <cellStyle name="Normal 104 2 8" xfId="9240"/>
    <cellStyle name="Normal 104 3" xfId="241"/>
    <cellStyle name="Normal 104 3 2" xfId="805"/>
    <cellStyle name="Normal 104 3 2 2" xfId="1975"/>
    <cellStyle name="Normal 104 3 2 2 2" xfId="2464"/>
    <cellStyle name="Normal 104 3 2 2 2 2" xfId="6981"/>
    <cellStyle name="Normal 104 3 2 2 2 2 2" xfId="16022"/>
    <cellStyle name="Normal 104 3 2 2 2 3" xfId="11509"/>
    <cellStyle name="Normal 104 3 2 2 3" xfId="6498"/>
    <cellStyle name="Normal 104 3 2 2 3 2" xfId="15539"/>
    <cellStyle name="Normal 104 3 2 2 4" xfId="11026"/>
    <cellStyle name="Normal 104 3 2 3" xfId="2463"/>
    <cellStyle name="Normal 104 3 2 3 2" xfId="6980"/>
    <cellStyle name="Normal 104 3 2 3 2 2" xfId="16021"/>
    <cellStyle name="Normal 104 3 2 3 3" xfId="11508"/>
    <cellStyle name="Normal 104 3 2 4" xfId="5370"/>
    <cellStyle name="Normal 104 3 2 4 2" xfId="14411"/>
    <cellStyle name="Normal 104 3 2 5" xfId="9898"/>
    <cellStyle name="Normal 104 3 3" xfId="1411"/>
    <cellStyle name="Normal 104 3 3 2" xfId="2465"/>
    <cellStyle name="Normal 104 3 3 2 2" xfId="6982"/>
    <cellStyle name="Normal 104 3 3 2 2 2" xfId="16023"/>
    <cellStyle name="Normal 104 3 3 2 3" xfId="11510"/>
    <cellStyle name="Normal 104 3 3 3" xfId="5934"/>
    <cellStyle name="Normal 104 3 3 3 2" xfId="14975"/>
    <cellStyle name="Normal 104 3 3 4" xfId="10462"/>
    <cellStyle name="Normal 104 3 4" xfId="2462"/>
    <cellStyle name="Normal 104 3 4 2" xfId="6979"/>
    <cellStyle name="Normal 104 3 4 2 2" xfId="16020"/>
    <cellStyle name="Normal 104 3 4 3" xfId="11507"/>
    <cellStyle name="Normal 104 3 5" xfId="4806"/>
    <cellStyle name="Normal 104 3 5 2" xfId="13847"/>
    <cellStyle name="Normal 104 3 6" xfId="9334"/>
    <cellStyle name="Normal 104 4" xfId="429"/>
    <cellStyle name="Normal 104 4 2" xfId="993"/>
    <cellStyle name="Normal 104 4 2 2" xfId="2163"/>
    <cellStyle name="Normal 104 4 2 2 2" xfId="2468"/>
    <cellStyle name="Normal 104 4 2 2 2 2" xfId="6985"/>
    <cellStyle name="Normal 104 4 2 2 2 2 2" xfId="16026"/>
    <cellStyle name="Normal 104 4 2 2 2 3" xfId="11513"/>
    <cellStyle name="Normal 104 4 2 2 3" xfId="6686"/>
    <cellStyle name="Normal 104 4 2 2 3 2" xfId="15727"/>
    <cellStyle name="Normal 104 4 2 2 4" xfId="11214"/>
    <cellStyle name="Normal 104 4 2 3" xfId="2467"/>
    <cellStyle name="Normal 104 4 2 3 2" xfId="6984"/>
    <cellStyle name="Normal 104 4 2 3 2 2" xfId="16025"/>
    <cellStyle name="Normal 104 4 2 3 3" xfId="11512"/>
    <cellStyle name="Normal 104 4 2 4" xfId="5558"/>
    <cellStyle name="Normal 104 4 2 4 2" xfId="14599"/>
    <cellStyle name="Normal 104 4 2 5" xfId="10086"/>
    <cellStyle name="Normal 104 4 3" xfId="1599"/>
    <cellStyle name="Normal 104 4 3 2" xfId="2469"/>
    <cellStyle name="Normal 104 4 3 2 2" xfId="6986"/>
    <cellStyle name="Normal 104 4 3 2 2 2" xfId="16027"/>
    <cellStyle name="Normal 104 4 3 2 3" xfId="11514"/>
    <cellStyle name="Normal 104 4 3 3" xfId="6122"/>
    <cellStyle name="Normal 104 4 3 3 2" xfId="15163"/>
    <cellStyle name="Normal 104 4 3 4" xfId="10650"/>
    <cellStyle name="Normal 104 4 4" xfId="2466"/>
    <cellStyle name="Normal 104 4 4 2" xfId="6983"/>
    <cellStyle name="Normal 104 4 4 2 2" xfId="16024"/>
    <cellStyle name="Normal 104 4 4 3" xfId="11511"/>
    <cellStyle name="Normal 104 4 5" xfId="4994"/>
    <cellStyle name="Normal 104 4 5 2" xfId="14035"/>
    <cellStyle name="Normal 104 4 6" xfId="9522"/>
    <cellStyle name="Normal 104 5" xfId="617"/>
    <cellStyle name="Normal 104 5 2" xfId="1787"/>
    <cellStyle name="Normal 104 5 2 2" xfId="2471"/>
    <cellStyle name="Normal 104 5 2 2 2" xfId="6988"/>
    <cellStyle name="Normal 104 5 2 2 2 2" xfId="16029"/>
    <cellStyle name="Normal 104 5 2 2 3" xfId="11516"/>
    <cellStyle name="Normal 104 5 2 3" xfId="6310"/>
    <cellStyle name="Normal 104 5 2 3 2" xfId="15351"/>
    <cellStyle name="Normal 104 5 2 4" xfId="10838"/>
    <cellStyle name="Normal 104 5 3" xfId="2470"/>
    <cellStyle name="Normal 104 5 3 2" xfId="6987"/>
    <cellStyle name="Normal 104 5 3 2 2" xfId="16028"/>
    <cellStyle name="Normal 104 5 3 3" xfId="11515"/>
    <cellStyle name="Normal 104 5 4" xfId="5182"/>
    <cellStyle name="Normal 104 5 4 2" xfId="14223"/>
    <cellStyle name="Normal 104 5 5" xfId="9710"/>
    <cellStyle name="Normal 104 6" xfId="1223"/>
    <cellStyle name="Normal 104 6 2" xfId="2472"/>
    <cellStyle name="Normal 104 6 2 2" xfId="6989"/>
    <cellStyle name="Normal 104 6 2 2 2" xfId="16030"/>
    <cellStyle name="Normal 104 6 2 3" xfId="11517"/>
    <cellStyle name="Normal 104 6 3" xfId="5746"/>
    <cellStyle name="Normal 104 6 3 2" xfId="14787"/>
    <cellStyle name="Normal 104 6 4" xfId="10274"/>
    <cellStyle name="Normal 104 7" xfId="2449"/>
    <cellStyle name="Normal 104 7 2" xfId="6966"/>
    <cellStyle name="Normal 104 7 2 2" xfId="16007"/>
    <cellStyle name="Normal 104 7 3" xfId="11494"/>
    <cellStyle name="Normal 104 8" xfId="4618"/>
    <cellStyle name="Normal 104 8 2" xfId="13659"/>
    <cellStyle name="Normal 104 9" xfId="9146"/>
    <cellStyle name="Normal 105" xfId="11"/>
    <cellStyle name="Normal 105 2" xfId="107"/>
    <cellStyle name="Normal 105 2 2" xfId="336"/>
    <cellStyle name="Normal 105 2 2 2" xfId="900"/>
    <cellStyle name="Normal 105 2 2 2 2" xfId="2070"/>
    <cellStyle name="Normal 105 2 2 2 2 2" xfId="2477"/>
    <cellStyle name="Normal 105 2 2 2 2 2 2" xfId="6994"/>
    <cellStyle name="Normal 105 2 2 2 2 2 2 2" xfId="16035"/>
    <cellStyle name="Normal 105 2 2 2 2 2 3" xfId="11522"/>
    <cellStyle name="Normal 105 2 2 2 2 3" xfId="6593"/>
    <cellStyle name="Normal 105 2 2 2 2 3 2" xfId="15634"/>
    <cellStyle name="Normal 105 2 2 2 2 4" xfId="11121"/>
    <cellStyle name="Normal 105 2 2 2 3" xfId="2476"/>
    <cellStyle name="Normal 105 2 2 2 3 2" xfId="6993"/>
    <cellStyle name="Normal 105 2 2 2 3 2 2" xfId="16034"/>
    <cellStyle name="Normal 105 2 2 2 3 3" xfId="11521"/>
    <cellStyle name="Normal 105 2 2 2 4" xfId="5465"/>
    <cellStyle name="Normal 105 2 2 2 4 2" xfId="14506"/>
    <cellStyle name="Normal 105 2 2 2 5" xfId="9993"/>
    <cellStyle name="Normal 105 2 2 3" xfId="1506"/>
    <cellStyle name="Normal 105 2 2 3 2" xfId="2478"/>
    <cellStyle name="Normal 105 2 2 3 2 2" xfId="6995"/>
    <cellStyle name="Normal 105 2 2 3 2 2 2" xfId="16036"/>
    <cellStyle name="Normal 105 2 2 3 2 3" xfId="11523"/>
    <cellStyle name="Normal 105 2 2 3 3" xfId="6029"/>
    <cellStyle name="Normal 105 2 2 3 3 2" xfId="15070"/>
    <cellStyle name="Normal 105 2 2 3 4" xfId="10557"/>
    <cellStyle name="Normal 105 2 2 4" xfId="2475"/>
    <cellStyle name="Normal 105 2 2 4 2" xfId="6992"/>
    <cellStyle name="Normal 105 2 2 4 2 2" xfId="16033"/>
    <cellStyle name="Normal 105 2 2 4 3" xfId="11520"/>
    <cellStyle name="Normal 105 2 2 5" xfId="4901"/>
    <cellStyle name="Normal 105 2 2 5 2" xfId="13942"/>
    <cellStyle name="Normal 105 2 2 6" xfId="9429"/>
    <cellStyle name="Normal 105 2 3" xfId="524"/>
    <cellStyle name="Normal 105 2 3 2" xfId="1088"/>
    <cellStyle name="Normal 105 2 3 2 2" xfId="2258"/>
    <cellStyle name="Normal 105 2 3 2 2 2" xfId="2481"/>
    <cellStyle name="Normal 105 2 3 2 2 2 2" xfId="6998"/>
    <cellStyle name="Normal 105 2 3 2 2 2 2 2" xfId="16039"/>
    <cellStyle name="Normal 105 2 3 2 2 2 3" xfId="11526"/>
    <cellStyle name="Normal 105 2 3 2 2 3" xfId="6781"/>
    <cellStyle name="Normal 105 2 3 2 2 3 2" xfId="15822"/>
    <cellStyle name="Normal 105 2 3 2 2 4" xfId="11309"/>
    <cellStyle name="Normal 105 2 3 2 3" xfId="2480"/>
    <cellStyle name="Normal 105 2 3 2 3 2" xfId="6997"/>
    <cellStyle name="Normal 105 2 3 2 3 2 2" xfId="16038"/>
    <cellStyle name="Normal 105 2 3 2 3 3" xfId="11525"/>
    <cellStyle name="Normal 105 2 3 2 4" xfId="5653"/>
    <cellStyle name="Normal 105 2 3 2 4 2" xfId="14694"/>
    <cellStyle name="Normal 105 2 3 2 5" xfId="10181"/>
    <cellStyle name="Normal 105 2 3 3" xfId="1694"/>
    <cellStyle name="Normal 105 2 3 3 2" xfId="2482"/>
    <cellStyle name="Normal 105 2 3 3 2 2" xfId="6999"/>
    <cellStyle name="Normal 105 2 3 3 2 2 2" xfId="16040"/>
    <cellStyle name="Normal 105 2 3 3 2 3" xfId="11527"/>
    <cellStyle name="Normal 105 2 3 3 3" xfId="6217"/>
    <cellStyle name="Normal 105 2 3 3 3 2" xfId="15258"/>
    <cellStyle name="Normal 105 2 3 3 4" xfId="10745"/>
    <cellStyle name="Normal 105 2 3 4" xfId="2479"/>
    <cellStyle name="Normal 105 2 3 4 2" xfId="6996"/>
    <cellStyle name="Normal 105 2 3 4 2 2" xfId="16037"/>
    <cellStyle name="Normal 105 2 3 4 3" xfId="11524"/>
    <cellStyle name="Normal 105 2 3 5" xfId="5089"/>
    <cellStyle name="Normal 105 2 3 5 2" xfId="14130"/>
    <cellStyle name="Normal 105 2 3 6" xfId="9617"/>
    <cellStyle name="Normal 105 2 4" xfId="712"/>
    <cellStyle name="Normal 105 2 4 2" xfId="1882"/>
    <cellStyle name="Normal 105 2 4 2 2" xfId="2484"/>
    <cellStyle name="Normal 105 2 4 2 2 2" xfId="7001"/>
    <cellStyle name="Normal 105 2 4 2 2 2 2" xfId="16042"/>
    <cellStyle name="Normal 105 2 4 2 2 3" xfId="11529"/>
    <cellStyle name="Normal 105 2 4 2 3" xfId="6405"/>
    <cellStyle name="Normal 105 2 4 2 3 2" xfId="15446"/>
    <cellStyle name="Normal 105 2 4 2 4" xfId="10933"/>
    <cellStyle name="Normal 105 2 4 3" xfId="2483"/>
    <cellStyle name="Normal 105 2 4 3 2" xfId="7000"/>
    <cellStyle name="Normal 105 2 4 3 2 2" xfId="16041"/>
    <cellStyle name="Normal 105 2 4 3 3" xfId="11528"/>
    <cellStyle name="Normal 105 2 4 4" xfId="5277"/>
    <cellStyle name="Normal 105 2 4 4 2" xfId="14318"/>
    <cellStyle name="Normal 105 2 4 5" xfId="9805"/>
    <cellStyle name="Normal 105 2 5" xfId="1318"/>
    <cellStyle name="Normal 105 2 5 2" xfId="2485"/>
    <cellStyle name="Normal 105 2 5 2 2" xfId="7002"/>
    <cellStyle name="Normal 105 2 5 2 2 2" xfId="16043"/>
    <cellStyle name="Normal 105 2 5 2 3" xfId="11530"/>
    <cellStyle name="Normal 105 2 5 3" xfId="5841"/>
    <cellStyle name="Normal 105 2 5 3 2" xfId="14882"/>
    <cellStyle name="Normal 105 2 5 4" xfId="10369"/>
    <cellStyle name="Normal 105 2 6" xfId="2474"/>
    <cellStyle name="Normal 105 2 6 2" xfId="6991"/>
    <cellStyle name="Normal 105 2 6 2 2" xfId="16032"/>
    <cellStyle name="Normal 105 2 6 3" xfId="11519"/>
    <cellStyle name="Normal 105 2 7" xfId="4713"/>
    <cellStyle name="Normal 105 2 7 2" xfId="13754"/>
    <cellStyle name="Normal 105 2 8" xfId="9241"/>
    <cellStyle name="Normal 105 3" xfId="242"/>
    <cellStyle name="Normal 105 3 2" xfId="806"/>
    <cellStyle name="Normal 105 3 2 2" xfId="1976"/>
    <cellStyle name="Normal 105 3 2 2 2" xfId="2488"/>
    <cellStyle name="Normal 105 3 2 2 2 2" xfId="7005"/>
    <cellStyle name="Normal 105 3 2 2 2 2 2" xfId="16046"/>
    <cellStyle name="Normal 105 3 2 2 2 3" xfId="11533"/>
    <cellStyle name="Normal 105 3 2 2 3" xfId="6499"/>
    <cellStyle name="Normal 105 3 2 2 3 2" xfId="15540"/>
    <cellStyle name="Normal 105 3 2 2 4" xfId="11027"/>
    <cellStyle name="Normal 105 3 2 3" xfId="2487"/>
    <cellStyle name="Normal 105 3 2 3 2" xfId="7004"/>
    <cellStyle name="Normal 105 3 2 3 2 2" xfId="16045"/>
    <cellStyle name="Normal 105 3 2 3 3" xfId="11532"/>
    <cellStyle name="Normal 105 3 2 4" xfId="5371"/>
    <cellStyle name="Normal 105 3 2 4 2" xfId="14412"/>
    <cellStyle name="Normal 105 3 2 5" xfId="9899"/>
    <cellStyle name="Normal 105 3 3" xfId="1412"/>
    <cellStyle name="Normal 105 3 3 2" xfId="2489"/>
    <cellStyle name="Normal 105 3 3 2 2" xfId="7006"/>
    <cellStyle name="Normal 105 3 3 2 2 2" xfId="16047"/>
    <cellStyle name="Normal 105 3 3 2 3" xfId="11534"/>
    <cellStyle name="Normal 105 3 3 3" xfId="5935"/>
    <cellStyle name="Normal 105 3 3 3 2" xfId="14976"/>
    <cellStyle name="Normal 105 3 3 4" xfId="10463"/>
    <cellStyle name="Normal 105 3 4" xfId="2486"/>
    <cellStyle name="Normal 105 3 4 2" xfId="7003"/>
    <cellStyle name="Normal 105 3 4 2 2" xfId="16044"/>
    <cellStyle name="Normal 105 3 4 3" xfId="11531"/>
    <cellStyle name="Normal 105 3 5" xfId="4807"/>
    <cellStyle name="Normal 105 3 5 2" xfId="13848"/>
    <cellStyle name="Normal 105 3 6" xfId="9335"/>
    <cellStyle name="Normal 105 4" xfId="430"/>
    <cellStyle name="Normal 105 4 2" xfId="994"/>
    <cellStyle name="Normal 105 4 2 2" xfId="2164"/>
    <cellStyle name="Normal 105 4 2 2 2" xfId="2492"/>
    <cellStyle name="Normal 105 4 2 2 2 2" xfId="7009"/>
    <cellStyle name="Normal 105 4 2 2 2 2 2" xfId="16050"/>
    <cellStyle name="Normal 105 4 2 2 2 3" xfId="11537"/>
    <cellStyle name="Normal 105 4 2 2 3" xfId="6687"/>
    <cellStyle name="Normal 105 4 2 2 3 2" xfId="15728"/>
    <cellStyle name="Normal 105 4 2 2 4" xfId="11215"/>
    <cellStyle name="Normal 105 4 2 3" xfId="2491"/>
    <cellStyle name="Normal 105 4 2 3 2" xfId="7008"/>
    <cellStyle name="Normal 105 4 2 3 2 2" xfId="16049"/>
    <cellStyle name="Normal 105 4 2 3 3" xfId="11536"/>
    <cellStyle name="Normal 105 4 2 4" xfId="5559"/>
    <cellStyle name="Normal 105 4 2 4 2" xfId="14600"/>
    <cellStyle name="Normal 105 4 2 5" xfId="10087"/>
    <cellStyle name="Normal 105 4 3" xfId="1600"/>
    <cellStyle name="Normal 105 4 3 2" xfId="2493"/>
    <cellStyle name="Normal 105 4 3 2 2" xfId="7010"/>
    <cellStyle name="Normal 105 4 3 2 2 2" xfId="16051"/>
    <cellStyle name="Normal 105 4 3 2 3" xfId="11538"/>
    <cellStyle name="Normal 105 4 3 3" xfId="6123"/>
    <cellStyle name="Normal 105 4 3 3 2" xfId="15164"/>
    <cellStyle name="Normal 105 4 3 4" xfId="10651"/>
    <cellStyle name="Normal 105 4 4" xfId="2490"/>
    <cellStyle name="Normal 105 4 4 2" xfId="7007"/>
    <cellStyle name="Normal 105 4 4 2 2" xfId="16048"/>
    <cellStyle name="Normal 105 4 4 3" xfId="11535"/>
    <cellStyle name="Normal 105 4 5" xfId="4995"/>
    <cellStyle name="Normal 105 4 5 2" xfId="14036"/>
    <cellStyle name="Normal 105 4 6" xfId="9523"/>
    <cellStyle name="Normal 105 5" xfId="618"/>
    <cellStyle name="Normal 105 5 2" xfId="1788"/>
    <cellStyle name="Normal 105 5 2 2" xfId="2495"/>
    <cellStyle name="Normal 105 5 2 2 2" xfId="7012"/>
    <cellStyle name="Normal 105 5 2 2 2 2" xfId="16053"/>
    <cellStyle name="Normal 105 5 2 2 3" xfId="11540"/>
    <cellStyle name="Normal 105 5 2 3" xfId="6311"/>
    <cellStyle name="Normal 105 5 2 3 2" xfId="15352"/>
    <cellStyle name="Normal 105 5 2 4" xfId="10839"/>
    <cellStyle name="Normal 105 5 3" xfId="2494"/>
    <cellStyle name="Normal 105 5 3 2" xfId="7011"/>
    <cellStyle name="Normal 105 5 3 2 2" xfId="16052"/>
    <cellStyle name="Normal 105 5 3 3" xfId="11539"/>
    <cellStyle name="Normal 105 5 4" xfId="5183"/>
    <cellStyle name="Normal 105 5 4 2" xfId="14224"/>
    <cellStyle name="Normal 105 5 5" xfId="9711"/>
    <cellStyle name="Normal 105 6" xfId="1224"/>
    <cellStyle name="Normal 105 6 2" xfId="2496"/>
    <cellStyle name="Normal 105 6 2 2" xfId="7013"/>
    <cellStyle name="Normal 105 6 2 2 2" xfId="16054"/>
    <cellStyle name="Normal 105 6 2 3" xfId="11541"/>
    <cellStyle name="Normal 105 6 3" xfId="5747"/>
    <cellStyle name="Normal 105 6 3 2" xfId="14788"/>
    <cellStyle name="Normal 105 6 4" xfId="10275"/>
    <cellStyle name="Normal 105 7" xfId="2473"/>
    <cellStyle name="Normal 105 7 2" xfId="6990"/>
    <cellStyle name="Normal 105 7 2 2" xfId="16031"/>
    <cellStyle name="Normal 105 7 3" xfId="11518"/>
    <cellStyle name="Normal 105 8" xfId="4619"/>
    <cellStyle name="Normal 105 8 2" xfId="13660"/>
    <cellStyle name="Normal 105 9" xfId="9147"/>
    <cellStyle name="Normal 106" xfId="12"/>
    <cellStyle name="Normal 106 2" xfId="108"/>
    <cellStyle name="Normal 106 2 2" xfId="337"/>
    <cellStyle name="Normal 106 2 2 2" xfId="901"/>
    <cellStyle name="Normal 106 2 2 2 2" xfId="2071"/>
    <cellStyle name="Normal 106 2 2 2 2 2" xfId="2501"/>
    <cellStyle name="Normal 106 2 2 2 2 2 2" xfId="7018"/>
    <cellStyle name="Normal 106 2 2 2 2 2 2 2" xfId="16059"/>
    <cellStyle name="Normal 106 2 2 2 2 2 3" xfId="11546"/>
    <cellStyle name="Normal 106 2 2 2 2 3" xfId="6594"/>
    <cellStyle name="Normal 106 2 2 2 2 3 2" xfId="15635"/>
    <cellStyle name="Normal 106 2 2 2 2 4" xfId="11122"/>
    <cellStyle name="Normal 106 2 2 2 3" xfId="2500"/>
    <cellStyle name="Normal 106 2 2 2 3 2" xfId="7017"/>
    <cellStyle name="Normal 106 2 2 2 3 2 2" xfId="16058"/>
    <cellStyle name="Normal 106 2 2 2 3 3" xfId="11545"/>
    <cellStyle name="Normal 106 2 2 2 4" xfId="5466"/>
    <cellStyle name="Normal 106 2 2 2 4 2" xfId="14507"/>
    <cellStyle name="Normal 106 2 2 2 5" xfId="9994"/>
    <cellStyle name="Normal 106 2 2 3" xfId="1507"/>
    <cellStyle name="Normal 106 2 2 3 2" xfId="2502"/>
    <cellStyle name="Normal 106 2 2 3 2 2" xfId="7019"/>
    <cellStyle name="Normal 106 2 2 3 2 2 2" xfId="16060"/>
    <cellStyle name="Normal 106 2 2 3 2 3" xfId="11547"/>
    <cellStyle name="Normal 106 2 2 3 3" xfId="6030"/>
    <cellStyle name="Normal 106 2 2 3 3 2" xfId="15071"/>
    <cellStyle name="Normal 106 2 2 3 4" xfId="10558"/>
    <cellStyle name="Normal 106 2 2 4" xfId="2499"/>
    <cellStyle name="Normal 106 2 2 4 2" xfId="7016"/>
    <cellStyle name="Normal 106 2 2 4 2 2" xfId="16057"/>
    <cellStyle name="Normal 106 2 2 4 3" xfId="11544"/>
    <cellStyle name="Normal 106 2 2 5" xfId="4902"/>
    <cellStyle name="Normal 106 2 2 5 2" xfId="13943"/>
    <cellStyle name="Normal 106 2 2 6" xfId="9430"/>
    <cellStyle name="Normal 106 2 3" xfId="525"/>
    <cellStyle name="Normal 106 2 3 2" xfId="1089"/>
    <cellStyle name="Normal 106 2 3 2 2" xfId="2259"/>
    <cellStyle name="Normal 106 2 3 2 2 2" xfId="2505"/>
    <cellStyle name="Normal 106 2 3 2 2 2 2" xfId="7022"/>
    <cellStyle name="Normal 106 2 3 2 2 2 2 2" xfId="16063"/>
    <cellStyle name="Normal 106 2 3 2 2 2 3" xfId="11550"/>
    <cellStyle name="Normal 106 2 3 2 2 3" xfId="6782"/>
    <cellStyle name="Normal 106 2 3 2 2 3 2" xfId="15823"/>
    <cellStyle name="Normal 106 2 3 2 2 4" xfId="11310"/>
    <cellStyle name="Normal 106 2 3 2 3" xfId="2504"/>
    <cellStyle name="Normal 106 2 3 2 3 2" xfId="7021"/>
    <cellStyle name="Normal 106 2 3 2 3 2 2" xfId="16062"/>
    <cellStyle name="Normal 106 2 3 2 3 3" xfId="11549"/>
    <cellStyle name="Normal 106 2 3 2 4" xfId="5654"/>
    <cellStyle name="Normal 106 2 3 2 4 2" xfId="14695"/>
    <cellStyle name="Normal 106 2 3 2 5" xfId="10182"/>
    <cellStyle name="Normal 106 2 3 3" xfId="1695"/>
    <cellStyle name="Normal 106 2 3 3 2" xfId="2506"/>
    <cellStyle name="Normal 106 2 3 3 2 2" xfId="7023"/>
    <cellStyle name="Normal 106 2 3 3 2 2 2" xfId="16064"/>
    <cellStyle name="Normal 106 2 3 3 2 3" xfId="11551"/>
    <cellStyle name="Normal 106 2 3 3 3" xfId="6218"/>
    <cellStyle name="Normal 106 2 3 3 3 2" xfId="15259"/>
    <cellStyle name="Normal 106 2 3 3 4" xfId="10746"/>
    <cellStyle name="Normal 106 2 3 4" xfId="2503"/>
    <cellStyle name="Normal 106 2 3 4 2" xfId="7020"/>
    <cellStyle name="Normal 106 2 3 4 2 2" xfId="16061"/>
    <cellStyle name="Normal 106 2 3 4 3" xfId="11548"/>
    <cellStyle name="Normal 106 2 3 5" xfId="5090"/>
    <cellStyle name="Normal 106 2 3 5 2" xfId="14131"/>
    <cellStyle name="Normal 106 2 3 6" xfId="9618"/>
    <cellStyle name="Normal 106 2 4" xfId="713"/>
    <cellStyle name="Normal 106 2 4 2" xfId="1883"/>
    <cellStyle name="Normal 106 2 4 2 2" xfId="2508"/>
    <cellStyle name="Normal 106 2 4 2 2 2" xfId="7025"/>
    <cellStyle name="Normal 106 2 4 2 2 2 2" xfId="16066"/>
    <cellStyle name="Normal 106 2 4 2 2 3" xfId="11553"/>
    <cellStyle name="Normal 106 2 4 2 3" xfId="6406"/>
    <cellStyle name="Normal 106 2 4 2 3 2" xfId="15447"/>
    <cellStyle name="Normal 106 2 4 2 4" xfId="10934"/>
    <cellStyle name="Normal 106 2 4 3" xfId="2507"/>
    <cellStyle name="Normal 106 2 4 3 2" xfId="7024"/>
    <cellStyle name="Normal 106 2 4 3 2 2" xfId="16065"/>
    <cellStyle name="Normal 106 2 4 3 3" xfId="11552"/>
    <cellStyle name="Normal 106 2 4 4" xfId="5278"/>
    <cellStyle name="Normal 106 2 4 4 2" xfId="14319"/>
    <cellStyle name="Normal 106 2 4 5" xfId="9806"/>
    <cellStyle name="Normal 106 2 5" xfId="1319"/>
    <cellStyle name="Normal 106 2 5 2" xfId="2509"/>
    <cellStyle name="Normal 106 2 5 2 2" xfId="7026"/>
    <cellStyle name="Normal 106 2 5 2 2 2" xfId="16067"/>
    <cellStyle name="Normal 106 2 5 2 3" xfId="11554"/>
    <cellStyle name="Normal 106 2 5 3" xfId="5842"/>
    <cellStyle name="Normal 106 2 5 3 2" xfId="14883"/>
    <cellStyle name="Normal 106 2 5 4" xfId="10370"/>
    <cellStyle name="Normal 106 2 6" xfId="2498"/>
    <cellStyle name="Normal 106 2 6 2" xfId="7015"/>
    <cellStyle name="Normal 106 2 6 2 2" xfId="16056"/>
    <cellStyle name="Normal 106 2 6 3" xfId="11543"/>
    <cellStyle name="Normal 106 2 7" xfId="4714"/>
    <cellStyle name="Normal 106 2 7 2" xfId="13755"/>
    <cellStyle name="Normal 106 2 8" xfId="9242"/>
    <cellStyle name="Normal 106 3" xfId="243"/>
    <cellStyle name="Normal 106 3 2" xfId="807"/>
    <cellStyle name="Normal 106 3 2 2" xfId="1977"/>
    <cellStyle name="Normal 106 3 2 2 2" xfId="2512"/>
    <cellStyle name="Normal 106 3 2 2 2 2" xfId="7029"/>
    <cellStyle name="Normal 106 3 2 2 2 2 2" xfId="16070"/>
    <cellStyle name="Normal 106 3 2 2 2 3" xfId="11557"/>
    <cellStyle name="Normal 106 3 2 2 3" xfId="6500"/>
    <cellStyle name="Normal 106 3 2 2 3 2" xfId="15541"/>
    <cellStyle name="Normal 106 3 2 2 4" xfId="11028"/>
    <cellStyle name="Normal 106 3 2 3" xfId="2511"/>
    <cellStyle name="Normal 106 3 2 3 2" xfId="7028"/>
    <cellStyle name="Normal 106 3 2 3 2 2" xfId="16069"/>
    <cellStyle name="Normal 106 3 2 3 3" xfId="11556"/>
    <cellStyle name="Normal 106 3 2 4" xfId="5372"/>
    <cellStyle name="Normal 106 3 2 4 2" xfId="14413"/>
    <cellStyle name="Normal 106 3 2 5" xfId="9900"/>
    <cellStyle name="Normal 106 3 3" xfId="1413"/>
    <cellStyle name="Normal 106 3 3 2" xfId="2513"/>
    <cellStyle name="Normal 106 3 3 2 2" xfId="7030"/>
    <cellStyle name="Normal 106 3 3 2 2 2" xfId="16071"/>
    <cellStyle name="Normal 106 3 3 2 3" xfId="11558"/>
    <cellStyle name="Normal 106 3 3 3" xfId="5936"/>
    <cellStyle name="Normal 106 3 3 3 2" xfId="14977"/>
    <cellStyle name="Normal 106 3 3 4" xfId="10464"/>
    <cellStyle name="Normal 106 3 4" xfId="2510"/>
    <cellStyle name="Normal 106 3 4 2" xfId="7027"/>
    <cellStyle name="Normal 106 3 4 2 2" xfId="16068"/>
    <cellStyle name="Normal 106 3 4 3" xfId="11555"/>
    <cellStyle name="Normal 106 3 5" xfId="4808"/>
    <cellStyle name="Normal 106 3 5 2" xfId="13849"/>
    <cellStyle name="Normal 106 3 6" xfId="9336"/>
    <cellStyle name="Normal 106 4" xfId="431"/>
    <cellStyle name="Normal 106 4 2" xfId="995"/>
    <cellStyle name="Normal 106 4 2 2" xfId="2165"/>
    <cellStyle name="Normal 106 4 2 2 2" xfId="2516"/>
    <cellStyle name="Normal 106 4 2 2 2 2" xfId="7033"/>
    <cellStyle name="Normal 106 4 2 2 2 2 2" xfId="16074"/>
    <cellStyle name="Normal 106 4 2 2 2 3" xfId="11561"/>
    <cellStyle name="Normal 106 4 2 2 3" xfId="6688"/>
    <cellStyle name="Normal 106 4 2 2 3 2" xfId="15729"/>
    <cellStyle name="Normal 106 4 2 2 4" xfId="11216"/>
    <cellStyle name="Normal 106 4 2 3" xfId="2515"/>
    <cellStyle name="Normal 106 4 2 3 2" xfId="7032"/>
    <cellStyle name="Normal 106 4 2 3 2 2" xfId="16073"/>
    <cellStyle name="Normal 106 4 2 3 3" xfId="11560"/>
    <cellStyle name="Normal 106 4 2 4" xfId="5560"/>
    <cellStyle name="Normal 106 4 2 4 2" xfId="14601"/>
    <cellStyle name="Normal 106 4 2 5" xfId="10088"/>
    <cellStyle name="Normal 106 4 3" xfId="1601"/>
    <cellStyle name="Normal 106 4 3 2" xfId="2517"/>
    <cellStyle name="Normal 106 4 3 2 2" xfId="7034"/>
    <cellStyle name="Normal 106 4 3 2 2 2" xfId="16075"/>
    <cellStyle name="Normal 106 4 3 2 3" xfId="11562"/>
    <cellStyle name="Normal 106 4 3 3" xfId="6124"/>
    <cellStyle name="Normal 106 4 3 3 2" xfId="15165"/>
    <cellStyle name="Normal 106 4 3 4" xfId="10652"/>
    <cellStyle name="Normal 106 4 4" xfId="2514"/>
    <cellStyle name="Normal 106 4 4 2" xfId="7031"/>
    <cellStyle name="Normal 106 4 4 2 2" xfId="16072"/>
    <cellStyle name="Normal 106 4 4 3" xfId="11559"/>
    <cellStyle name="Normal 106 4 5" xfId="4996"/>
    <cellStyle name="Normal 106 4 5 2" xfId="14037"/>
    <cellStyle name="Normal 106 4 6" xfId="9524"/>
    <cellStyle name="Normal 106 5" xfId="619"/>
    <cellStyle name="Normal 106 5 2" xfId="1789"/>
    <cellStyle name="Normal 106 5 2 2" xfId="2519"/>
    <cellStyle name="Normal 106 5 2 2 2" xfId="7036"/>
    <cellStyle name="Normal 106 5 2 2 2 2" xfId="16077"/>
    <cellStyle name="Normal 106 5 2 2 3" xfId="11564"/>
    <cellStyle name="Normal 106 5 2 3" xfId="6312"/>
    <cellStyle name="Normal 106 5 2 3 2" xfId="15353"/>
    <cellStyle name="Normal 106 5 2 4" xfId="10840"/>
    <cellStyle name="Normal 106 5 3" xfId="2518"/>
    <cellStyle name="Normal 106 5 3 2" xfId="7035"/>
    <cellStyle name="Normal 106 5 3 2 2" xfId="16076"/>
    <cellStyle name="Normal 106 5 3 3" xfId="11563"/>
    <cellStyle name="Normal 106 5 4" xfId="5184"/>
    <cellStyle name="Normal 106 5 4 2" xfId="14225"/>
    <cellStyle name="Normal 106 5 5" xfId="9712"/>
    <cellStyle name="Normal 106 6" xfId="1225"/>
    <cellStyle name="Normal 106 6 2" xfId="2520"/>
    <cellStyle name="Normal 106 6 2 2" xfId="7037"/>
    <cellStyle name="Normal 106 6 2 2 2" xfId="16078"/>
    <cellStyle name="Normal 106 6 2 3" xfId="11565"/>
    <cellStyle name="Normal 106 6 3" xfId="5748"/>
    <cellStyle name="Normal 106 6 3 2" xfId="14789"/>
    <cellStyle name="Normal 106 6 4" xfId="10276"/>
    <cellStyle name="Normal 106 7" xfId="2497"/>
    <cellStyle name="Normal 106 7 2" xfId="7014"/>
    <cellStyle name="Normal 106 7 2 2" xfId="16055"/>
    <cellStyle name="Normal 106 7 3" xfId="11542"/>
    <cellStyle name="Normal 106 8" xfId="4620"/>
    <cellStyle name="Normal 106 8 2" xfId="13661"/>
    <cellStyle name="Normal 106 9" xfId="9148"/>
    <cellStyle name="Normal 107" xfId="13"/>
    <cellStyle name="Normal 107 2" xfId="109"/>
    <cellStyle name="Normal 107 2 2" xfId="338"/>
    <cellStyle name="Normal 107 2 2 2" xfId="902"/>
    <cellStyle name="Normal 107 2 2 2 2" xfId="2072"/>
    <cellStyle name="Normal 107 2 2 2 2 2" xfId="2525"/>
    <cellStyle name="Normal 107 2 2 2 2 2 2" xfId="7042"/>
    <cellStyle name="Normal 107 2 2 2 2 2 2 2" xfId="16083"/>
    <cellStyle name="Normal 107 2 2 2 2 2 3" xfId="11570"/>
    <cellStyle name="Normal 107 2 2 2 2 3" xfId="6595"/>
    <cellStyle name="Normal 107 2 2 2 2 3 2" xfId="15636"/>
    <cellStyle name="Normal 107 2 2 2 2 4" xfId="11123"/>
    <cellStyle name="Normal 107 2 2 2 3" xfId="2524"/>
    <cellStyle name="Normal 107 2 2 2 3 2" xfId="7041"/>
    <cellStyle name="Normal 107 2 2 2 3 2 2" xfId="16082"/>
    <cellStyle name="Normal 107 2 2 2 3 3" xfId="11569"/>
    <cellStyle name="Normal 107 2 2 2 4" xfId="5467"/>
    <cellStyle name="Normal 107 2 2 2 4 2" xfId="14508"/>
    <cellStyle name="Normal 107 2 2 2 5" xfId="9995"/>
    <cellStyle name="Normal 107 2 2 3" xfId="1508"/>
    <cellStyle name="Normal 107 2 2 3 2" xfId="2526"/>
    <cellStyle name="Normal 107 2 2 3 2 2" xfId="7043"/>
    <cellStyle name="Normal 107 2 2 3 2 2 2" xfId="16084"/>
    <cellStyle name="Normal 107 2 2 3 2 3" xfId="11571"/>
    <cellStyle name="Normal 107 2 2 3 3" xfId="6031"/>
    <cellStyle name="Normal 107 2 2 3 3 2" xfId="15072"/>
    <cellStyle name="Normal 107 2 2 3 4" xfId="10559"/>
    <cellStyle name="Normal 107 2 2 4" xfId="2523"/>
    <cellStyle name="Normal 107 2 2 4 2" xfId="7040"/>
    <cellStyle name="Normal 107 2 2 4 2 2" xfId="16081"/>
    <cellStyle name="Normal 107 2 2 4 3" xfId="11568"/>
    <cellStyle name="Normal 107 2 2 5" xfId="4903"/>
    <cellStyle name="Normal 107 2 2 5 2" xfId="13944"/>
    <cellStyle name="Normal 107 2 2 6" xfId="9431"/>
    <cellStyle name="Normal 107 2 3" xfId="526"/>
    <cellStyle name="Normal 107 2 3 2" xfId="1090"/>
    <cellStyle name="Normal 107 2 3 2 2" xfId="2260"/>
    <cellStyle name="Normal 107 2 3 2 2 2" xfId="2529"/>
    <cellStyle name="Normal 107 2 3 2 2 2 2" xfId="7046"/>
    <cellStyle name="Normal 107 2 3 2 2 2 2 2" xfId="16087"/>
    <cellStyle name="Normal 107 2 3 2 2 2 3" xfId="11574"/>
    <cellStyle name="Normal 107 2 3 2 2 3" xfId="6783"/>
    <cellStyle name="Normal 107 2 3 2 2 3 2" xfId="15824"/>
    <cellStyle name="Normal 107 2 3 2 2 4" xfId="11311"/>
    <cellStyle name="Normal 107 2 3 2 3" xfId="2528"/>
    <cellStyle name="Normal 107 2 3 2 3 2" xfId="7045"/>
    <cellStyle name="Normal 107 2 3 2 3 2 2" xfId="16086"/>
    <cellStyle name="Normal 107 2 3 2 3 3" xfId="11573"/>
    <cellStyle name="Normal 107 2 3 2 4" xfId="5655"/>
    <cellStyle name="Normal 107 2 3 2 4 2" xfId="14696"/>
    <cellStyle name="Normal 107 2 3 2 5" xfId="10183"/>
    <cellStyle name="Normal 107 2 3 3" xfId="1696"/>
    <cellStyle name="Normal 107 2 3 3 2" xfId="2530"/>
    <cellStyle name="Normal 107 2 3 3 2 2" xfId="7047"/>
    <cellStyle name="Normal 107 2 3 3 2 2 2" xfId="16088"/>
    <cellStyle name="Normal 107 2 3 3 2 3" xfId="11575"/>
    <cellStyle name="Normal 107 2 3 3 3" xfId="6219"/>
    <cellStyle name="Normal 107 2 3 3 3 2" xfId="15260"/>
    <cellStyle name="Normal 107 2 3 3 4" xfId="10747"/>
    <cellStyle name="Normal 107 2 3 4" xfId="2527"/>
    <cellStyle name="Normal 107 2 3 4 2" xfId="7044"/>
    <cellStyle name="Normal 107 2 3 4 2 2" xfId="16085"/>
    <cellStyle name="Normal 107 2 3 4 3" xfId="11572"/>
    <cellStyle name="Normal 107 2 3 5" xfId="5091"/>
    <cellStyle name="Normal 107 2 3 5 2" xfId="14132"/>
    <cellStyle name="Normal 107 2 3 6" xfId="9619"/>
    <cellStyle name="Normal 107 2 4" xfId="714"/>
    <cellStyle name="Normal 107 2 4 2" xfId="1884"/>
    <cellStyle name="Normal 107 2 4 2 2" xfId="2532"/>
    <cellStyle name="Normal 107 2 4 2 2 2" xfId="7049"/>
    <cellStyle name="Normal 107 2 4 2 2 2 2" xfId="16090"/>
    <cellStyle name="Normal 107 2 4 2 2 3" xfId="11577"/>
    <cellStyle name="Normal 107 2 4 2 3" xfId="6407"/>
    <cellStyle name="Normal 107 2 4 2 3 2" xfId="15448"/>
    <cellStyle name="Normal 107 2 4 2 4" xfId="10935"/>
    <cellStyle name="Normal 107 2 4 3" xfId="2531"/>
    <cellStyle name="Normal 107 2 4 3 2" xfId="7048"/>
    <cellStyle name="Normal 107 2 4 3 2 2" xfId="16089"/>
    <cellStyle name="Normal 107 2 4 3 3" xfId="11576"/>
    <cellStyle name="Normal 107 2 4 4" xfId="5279"/>
    <cellStyle name="Normal 107 2 4 4 2" xfId="14320"/>
    <cellStyle name="Normal 107 2 4 5" xfId="9807"/>
    <cellStyle name="Normal 107 2 5" xfId="1320"/>
    <cellStyle name="Normal 107 2 5 2" xfId="2533"/>
    <cellStyle name="Normal 107 2 5 2 2" xfId="7050"/>
    <cellStyle name="Normal 107 2 5 2 2 2" xfId="16091"/>
    <cellStyle name="Normal 107 2 5 2 3" xfId="11578"/>
    <cellStyle name="Normal 107 2 5 3" xfId="5843"/>
    <cellStyle name="Normal 107 2 5 3 2" xfId="14884"/>
    <cellStyle name="Normal 107 2 5 4" xfId="10371"/>
    <cellStyle name="Normal 107 2 6" xfId="2522"/>
    <cellStyle name="Normal 107 2 6 2" xfId="7039"/>
    <cellStyle name="Normal 107 2 6 2 2" xfId="16080"/>
    <cellStyle name="Normal 107 2 6 3" xfId="11567"/>
    <cellStyle name="Normal 107 2 7" xfId="4715"/>
    <cellStyle name="Normal 107 2 7 2" xfId="13756"/>
    <cellStyle name="Normal 107 2 8" xfId="9243"/>
    <cellStyle name="Normal 107 3" xfId="244"/>
    <cellStyle name="Normal 107 3 2" xfId="808"/>
    <cellStyle name="Normal 107 3 2 2" xfId="1978"/>
    <cellStyle name="Normal 107 3 2 2 2" xfId="2536"/>
    <cellStyle name="Normal 107 3 2 2 2 2" xfId="7053"/>
    <cellStyle name="Normal 107 3 2 2 2 2 2" xfId="16094"/>
    <cellStyle name="Normal 107 3 2 2 2 3" xfId="11581"/>
    <cellStyle name="Normal 107 3 2 2 3" xfId="6501"/>
    <cellStyle name="Normal 107 3 2 2 3 2" xfId="15542"/>
    <cellStyle name="Normal 107 3 2 2 4" xfId="11029"/>
    <cellStyle name="Normal 107 3 2 3" xfId="2535"/>
    <cellStyle name="Normal 107 3 2 3 2" xfId="7052"/>
    <cellStyle name="Normal 107 3 2 3 2 2" xfId="16093"/>
    <cellStyle name="Normal 107 3 2 3 3" xfId="11580"/>
    <cellStyle name="Normal 107 3 2 4" xfId="5373"/>
    <cellStyle name="Normal 107 3 2 4 2" xfId="14414"/>
    <cellStyle name="Normal 107 3 2 5" xfId="9901"/>
    <cellStyle name="Normal 107 3 3" xfId="1414"/>
    <cellStyle name="Normal 107 3 3 2" xfId="2537"/>
    <cellStyle name="Normal 107 3 3 2 2" xfId="7054"/>
    <cellStyle name="Normal 107 3 3 2 2 2" xfId="16095"/>
    <cellStyle name="Normal 107 3 3 2 3" xfId="11582"/>
    <cellStyle name="Normal 107 3 3 3" xfId="5937"/>
    <cellStyle name="Normal 107 3 3 3 2" xfId="14978"/>
    <cellStyle name="Normal 107 3 3 4" xfId="10465"/>
    <cellStyle name="Normal 107 3 4" xfId="2534"/>
    <cellStyle name="Normal 107 3 4 2" xfId="7051"/>
    <cellStyle name="Normal 107 3 4 2 2" xfId="16092"/>
    <cellStyle name="Normal 107 3 4 3" xfId="11579"/>
    <cellStyle name="Normal 107 3 5" xfId="4809"/>
    <cellStyle name="Normal 107 3 5 2" xfId="13850"/>
    <cellStyle name="Normal 107 3 6" xfId="9337"/>
    <cellStyle name="Normal 107 4" xfId="432"/>
    <cellStyle name="Normal 107 4 2" xfId="996"/>
    <cellStyle name="Normal 107 4 2 2" xfId="2166"/>
    <cellStyle name="Normal 107 4 2 2 2" xfId="2540"/>
    <cellStyle name="Normal 107 4 2 2 2 2" xfId="7057"/>
    <cellStyle name="Normal 107 4 2 2 2 2 2" xfId="16098"/>
    <cellStyle name="Normal 107 4 2 2 2 3" xfId="11585"/>
    <cellStyle name="Normal 107 4 2 2 3" xfId="6689"/>
    <cellStyle name="Normal 107 4 2 2 3 2" xfId="15730"/>
    <cellStyle name="Normal 107 4 2 2 4" xfId="11217"/>
    <cellStyle name="Normal 107 4 2 3" xfId="2539"/>
    <cellStyle name="Normal 107 4 2 3 2" xfId="7056"/>
    <cellStyle name="Normal 107 4 2 3 2 2" xfId="16097"/>
    <cellStyle name="Normal 107 4 2 3 3" xfId="11584"/>
    <cellStyle name="Normal 107 4 2 4" xfId="5561"/>
    <cellStyle name="Normal 107 4 2 4 2" xfId="14602"/>
    <cellStyle name="Normal 107 4 2 5" xfId="10089"/>
    <cellStyle name="Normal 107 4 3" xfId="1602"/>
    <cellStyle name="Normal 107 4 3 2" xfId="2541"/>
    <cellStyle name="Normal 107 4 3 2 2" xfId="7058"/>
    <cellStyle name="Normal 107 4 3 2 2 2" xfId="16099"/>
    <cellStyle name="Normal 107 4 3 2 3" xfId="11586"/>
    <cellStyle name="Normal 107 4 3 3" xfId="6125"/>
    <cellStyle name="Normal 107 4 3 3 2" xfId="15166"/>
    <cellStyle name="Normal 107 4 3 4" xfId="10653"/>
    <cellStyle name="Normal 107 4 4" xfId="2538"/>
    <cellStyle name="Normal 107 4 4 2" xfId="7055"/>
    <cellStyle name="Normal 107 4 4 2 2" xfId="16096"/>
    <cellStyle name="Normal 107 4 4 3" xfId="11583"/>
    <cellStyle name="Normal 107 4 5" xfId="4997"/>
    <cellStyle name="Normal 107 4 5 2" xfId="14038"/>
    <cellStyle name="Normal 107 4 6" xfId="9525"/>
    <cellStyle name="Normal 107 5" xfId="620"/>
    <cellStyle name="Normal 107 5 2" xfId="1790"/>
    <cellStyle name="Normal 107 5 2 2" xfId="2543"/>
    <cellStyle name="Normal 107 5 2 2 2" xfId="7060"/>
    <cellStyle name="Normal 107 5 2 2 2 2" xfId="16101"/>
    <cellStyle name="Normal 107 5 2 2 3" xfId="11588"/>
    <cellStyle name="Normal 107 5 2 3" xfId="6313"/>
    <cellStyle name="Normal 107 5 2 3 2" xfId="15354"/>
    <cellStyle name="Normal 107 5 2 4" xfId="10841"/>
    <cellStyle name="Normal 107 5 3" xfId="2542"/>
    <cellStyle name="Normal 107 5 3 2" xfId="7059"/>
    <cellStyle name="Normal 107 5 3 2 2" xfId="16100"/>
    <cellStyle name="Normal 107 5 3 3" xfId="11587"/>
    <cellStyle name="Normal 107 5 4" xfId="5185"/>
    <cellStyle name="Normal 107 5 4 2" xfId="14226"/>
    <cellStyle name="Normal 107 5 5" xfId="9713"/>
    <cellStyle name="Normal 107 6" xfId="1226"/>
    <cellStyle name="Normal 107 6 2" xfId="2544"/>
    <cellStyle name="Normal 107 6 2 2" xfId="7061"/>
    <cellStyle name="Normal 107 6 2 2 2" xfId="16102"/>
    <cellStyle name="Normal 107 6 2 3" xfId="11589"/>
    <cellStyle name="Normal 107 6 3" xfId="5749"/>
    <cellStyle name="Normal 107 6 3 2" xfId="14790"/>
    <cellStyle name="Normal 107 6 4" xfId="10277"/>
    <cellStyle name="Normal 107 7" xfId="2521"/>
    <cellStyle name="Normal 107 7 2" xfId="7038"/>
    <cellStyle name="Normal 107 7 2 2" xfId="16079"/>
    <cellStyle name="Normal 107 7 3" xfId="11566"/>
    <cellStyle name="Normal 107 8" xfId="4621"/>
    <cellStyle name="Normal 107 8 2" xfId="13662"/>
    <cellStyle name="Normal 107 9" xfId="9149"/>
    <cellStyle name="Normal 108" xfId="14"/>
    <cellStyle name="Normal 108 2" xfId="110"/>
    <cellStyle name="Normal 108 2 2" xfId="339"/>
    <cellStyle name="Normal 108 2 2 2" xfId="903"/>
    <cellStyle name="Normal 108 2 2 2 2" xfId="2073"/>
    <cellStyle name="Normal 108 2 2 2 2 2" xfId="2549"/>
    <cellStyle name="Normal 108 2 2 2 2 2 2" xfId="7066"/>
    <cellStyle name="Normal 108 2 2 2 2 2 2 2" xfId="16107"/>
    <cellStyle name="Normal 108 2 2 2 2 2 3" xfId="11594"/>
    <cellStyle name="Normal 108 2 2 2 2 3" xfId="6596"/>
    <cellStyle name="Normal 108 2 2 2 2 3 2" xfId="15637"/>
    <cellStyle name="Normal 108 2 2 2 2 4" xfId="11124"/>
    <cellStyle name="Normal 108 2 2 2 3" xfId="2548"/>
    <cellStyle name="Normal 108 2 2 2 3 2" xfId="7065"/>
    <cellStyle name="Normal 108 2 2 2 3 2 2" xfId="16106"/>
    <cellStyle name="Normal 108 2 2 2 3 3" xfId="11593"/>
    <cellStyle name="Normal 108 2 2 2 4" xfId="5468"/>
    <cellStyle name="Normal 108 2 2 2 4 2" xfId="14509"/>
    <cellStyle name="Normal 108 2 2 2 5" xfId="9996"/>
    <cellStyle name="Normal 108 2 2 3" xfId="1509"/>
    <cellStyle name="Normal 108 2 2 3 2" xfId="2550"/>
    <cellStyle name="Normal 108 2 2 3 2 2" xfId="7067"/>
    <cellStyle name="Normal 108 2 2 3 2 2 2" xfId="16108"/>
    <cellStyle name="Normal 108 2 2 3 2 3" xfId="11595"/>
    <cellStyle name="Normal 108 2 2 3 3" xfId="6032"/>
    <cellStyle name="Normal 108 2 2 3 3 2" xfId="15073"/>
    <cellStyle name="Normal 108 2 2 3 4" xfId="10560"/>
    <cellStyle name="Normal 108 2 2 4" xfId="2547"/>
    <cellStyle name="Normal 108 2 2 4 2" xfId="7064"/>
    <cellStyle name="Normal 108 2 2 4 2 2" xfId="16105"/>
    <cellStyle name="Normal 108 2 2 4 3" xfId="11592"/>
    <cellStyle name="Normal 108 2 2 5" xfId="4904"/>
    <cellStyle name="Normal 108 2 2 5 2" xfId="13945"/>
    <cellStyle name="Normal 108 2 2 6" xfId="9432"/>
    <cellStyle name="Normal 108 2 3" xfId="527"/>
    <cellStyle name="Normal 108 2 3 2" xfId="1091"/>
    <cellStyle name="Normal 108 2 3 2 2" xfId="2261"/>
    <cellStyle name="Normal 108 2 3 2 2 2" xfId="2553"/>
    <cellStyle name="Normal 108 2 3 2 2 2 2" xfId="7070"/>
    <cellStyle name="Normal 108 2 3 2 2 2 2 2" xfId="16111"/>
    <cellStyle name="Normal 108 2 3 2 2 2 3" xfId="11598"/>
    <cellStyle name="Normal 108 2 3 2 2 3" xfId="6784"/>
    <cellStyle name="Normal 108 2 3 2 2 3 2" xfId="15825"/>
    <cellStyle name="Normal 108 2 3 2 2 4" xfId="11312"/>
    <cellStyle name="Normal 108 2 3 2 3" xfId="2552"/>
    <cellStyle name="Normal 108 2 3 2 3 2" xfId="7069"/>
    <cellStyle name="Normal 108 2 3 2 3 2 2" xfId="16110"/>
    <cellStyle name="Normal 108 2 3 2 3 3" xfId="11597"/>
    <cellStyle name="Normal 108 2 3 2 4" xfId="5656"/>
    <cellStyle name="Normal 108 2 3 2 4 2" xfId="14697"/>
    <cellStyle name="Normal 108 2 3 2 5" xfId="10184"/>
    <cellStyle name="Normal 108 2 3 3" xfId="1697"/>
    <cellStyle name="Normal 108 2 3 3 2" xfId="2554"/>
    <cellStyle name="Normal 108 2 3 3 2 2" xfId="7071"/>
    <cellStyle name="Normal 108 2 3 3 2 2 2" xfId="16112"/>
    <cellStyle name="Normal 108 2 3 3 2 3" xfId="11599"/>
    <cellStyle name="Normal 108 2 3 3 3" xfId="6220"/>
    <cellStyle name="Normal 108 2 3 3 3 2" xfId="15261"/>
    <cellStyle name="Normal 108 2 3 3 4" xfId="10748"/>
    <cellStyle name="Normal 108 2 3 4" xfId="2551"/>
    <cellStyle name="Normal 108 2 3 4 2" xfId="7068"/>
    <cellStyle name="Normal 108 2 3 4 2 2" xfId="16109"/>
    <cellStyle name="Normal 108 2 3 4 3" xfId="11596"/>
    <cellStyle name="Normal 108 2 3 5" xfId="5092"/>
    <cellStyle name="Normal 108 2 3 5 2" xfId="14133"/>
    <cellStyle name="Normal 108 2 3 6" xfId="9620"/>
    <cellStyle name="Normal 108 2 4" xfId="715"/>
    <cellStyle name="Normal 108 2 4 2" xfId="1885"/>
    <cellStyle name="Normal 108 2 4 2 2" xfId="2556"/>
    <cellStyle name="Normal 108 2 4 2 2 2" xfId="7073"/>
    <cellStyle name="Normal 108 2 4 2 2 2 2" xfId="16114"/>
    <cellStyle name="Normal 108 2 4 2 2 3" xfId="11601"/>
    <cellStyle name="Normal 108 2 4 2 3" xfId="6408"/>
    <cellStyle name="Normal 108 2 4 2 3 2" xfId="15449"/>
    <cellStyle name="Normal 108 2 4 2 4" xfId="10936"/>
    <cellStyle name="Normal 108 2 4 3" xfId="2555"/>
    <cellStyle name="Normal 108 2 4 3 2" xfId="7072"/>
    <cellStyle name="Normal 108 2 4 3 2 2" xfId="16113"/>
    <cellStyle name="Normal 108 2 4 3 3" xfId="11600"/>
    <cellStyle name="Normal 108 2 4 4" xfId="5280"/>
    <cellStyle name="Normal 108 2 4 4 2" xfId="14321"/>
    <cellStyle name="Normal 108 2 4 5" xfId="9808"/>
    <cellStyle name="Normal 108 2 5" xfId="1321"/>
    <cellStyle name="Normal 108 2 5 2" xfId="2557"/>
    <cellStyle name="Normal 108 2 5 2 2" xfId="7074"/>
    <cellStyle name="Normal 108 2 5 2 2 2" xfId="16115"/>
    <cellStyle name="Normal 108 2 5 2 3" xfId="11602"/>
    <cellStyle name="Normal 108 2 5 3" xfId="5844"/>
    <cellStyle name="Normal 108 2 5 3 2" xfId="14885"/>
    <cellStyle name="Normal 108 2 5 4" xfId="10372"/>
    <cellStyle name="Normal 108 2 6" xfId="2546"/>
    <cellStyle name="Normal 108 2 6 2" xfId="7063"/>
    <cellStyle name="Normal 108 2 6 2 2" xfId="16104"/>
    <cellStyle name="Normal 108 2 6 3" xfId="11591"/>
    <cellStyle name="Normal 108 2 7" xfId="4716"/>
    <cellStyle name="Normal 108 2 7 2" xfId="13757"/>
    <cellStyle name="Normal 108 2 8" xfId="9244"/>
    <cellStyle name="Normal 108 3" xfId="245"/>
    <cellStyle name="Normal 108 3 2" xfId="809"/>
    <cellStyle name="Normal 108 3 2 2" xfId="1979"/>
    <cellStyle name="Normal 108 3 2 2 2" xfId="2560"/>
    <cellStyle name="Normal 108 3 2 2 2 2" xfId="7077"/>
    <cellStyle name="Normal 108 3 2 2 2 2 2" xfId="16118"/>
    <cellStyle name="Normal 108 3 2 2 2 3" xfId="11605"/>
    <cellStyle name="Normal 108 3 2 2 3" xfId="6502"/>
    <cellStyle name="Normal 108 3 2 2 3 2" xfId="15543"/>
    <cellStyle name="Normal 108 3 2 2 4" xfId="11030"/>
    <cellStyle name="Normal 108 3 2 3" xfId="2559"/>
    <cellStyle name="Normal 108 3 2 3 2" xfId="7076"/>
    <cellStyle name="Normal 108 3 2 3 2 2" xfId="16117"/>
    <cellStyle name="Normal 108 3 2 3 3" xfId="11604"/>
    <cellStyle name="Normal 108 3 2 4" xfId="5374"/>
    <cellStyle name="Normal 108 3 2 4 2" xfId="14415"/>
    <cellStyle name="Normal 108 3 2 5" xfId="9902"/>
    <cellStyle name="Normal 108 3 3" xfId="1415"/>
    <cellStyle name="Normal 108 3 3 2" xfId="2561"/>
    <cellStyle name="Normal 108 3 3 2 2" xfId="7078"/>
    <cellStyle name="Normal 108 3 3 2 2 2" xfId="16119"/>
    <cellStyle name="Normal 108 3 3 2 3" xfId="11606"/>
    <cellStyle name="Normal 108 3 3 3" xfId="5938"/>
    <cellStyle name="Normal 108 3 3 3 2" xfId="14979"/>
    <cellStyle name="Normal 108 3 3 4" xfId="10466"/>
    <cellStyle name="Normal 108 3 4" xfId="2558"/>
    <cellStyle name="Normal 108 3 4 2" xfId="7075"/>
    <cellStyle name="Normal 108 3 4 2 2" xfId="16116"/>
    <cellStyle name="Normal 108 3 4 3" xfId="11603"/>
    <cellStyle name="Normal 108 3 5" xfId="4810"/>
    <cellStyle name="Normal 108 3 5 2" xfId="13851"/>
    <cellStyle name="Normal 108 3 6" xfId="9338"/>
    <cellStyle name="Normal 108 4" xfId="433"/>
    <cellStyle name="Normal 108 4 2" xfId="997"/>
    <cellStyle name="Normal 108 4 2 2" xfId="2167"/>
    <cellStyle name="Normal 108 4 2 2 2" xfId="2564"/>
    <cellStyle name="Normal 108 4 2 2 2 2" xfId="7081"/>
    <cellStyle name="Normal 108 4 2 2 2 2 2" xfId="16122"/>
    <cellStyle name="Normal 108 4 2 2 2 3" xfId="11609"/>
    <cellStyle name="Normal 108 4 2 2 3" xfId="6690"/>
    <cellStyle name="Normal 108 4 2 2 3 2" xfId="15731"/>
    <cellStyle name="Normal 108 4 2 2 4" xfId="11218"/>
    <cellStyle name="Normal 108 4 2 3" xfId="2563"/>
    <cellStyle name="Normal 108 4 2 3 2" xfId="7080"/>
    <cellStyle name="Normal 108 4 2 3 2 2" xfId="16121"/>
    <cellStyle name="Normal 108 4 2 3 3" xfId="11608"/>
    <cellStyle name="Normal 108 4 2 4" xfId="5562"/>
    <cellStyle name="Normal 108 4 2 4 2" xfId="14603"/>
    <cellStyle name="Normal 108 4 2 5" xfId="10090"/>
    <cellStyle name="Normal 108 4 3" xfId="1603"/>
    <cellStyle name="Normal 108 4 3 2" xfId="2565"/>
    <cellStyle name="Normal 108 4 3 2 2" xfId="7082"/>
    <cellStyle name="Normal 108 4 3 2 2 2" xfId="16123"/>
    <cellStyle name="Normal 108 4 3 2 3" xfId="11610"/>
    <cellStyle name="Normal 108 4 3 3" xfId="6126"/>
    <cellStyle name="Normal 108 4 3 3 2" xfId="15167"/>
    <cellStyle name="Normal 108 4 3 4" xfId="10654"/>
    <cellStyle name="Normal 108 4 4" xfId="2562"/>
    <cellStyle name="Normal 108 4 4 2" xfId="7079"/>
    <cellStyle name="Normal 108 4 4 2 2" xfId="16120"/>
    <cellStyle name="Normal 108 4 4 3" xfId="11607"/>
    <cellStyle name="Normal 108 4 5" xfId="4998"/>
    <cellStyle name="Normal 108 4 5 2" xfId="14039"/>
    <cellStyle name="Normal 108 4 6" xfId="9526"/>
    <cellStyle name="Normal 108 5" xfId="621"/>
    <cellStyle name="Normal 108 5 2" xfId="1791"/>
    <cellStyle name="Normal 108 5 2 2" xfId="2567"/>
    <cellStyle name="Normal 108 5 2 2 2" xfId="7084"/>
    <cellStyle name="Normal 108 5 2 2 2 2" xfId="16125"/>
    <cellStyle name="Normal 108 5 2 2 3" xfId="11612"/>
    <cellStyle name="Normal 108 5 2 3" xfId="6314"/>
    <cellStyle name="Normal 108 5 2 3 2" xfId="15355"/>
    <cellStyle name="Normal 108 5 2 4" xfId="10842"/>
    <cellStyle name="Normal 108 5 3" xfId="2566"/>
    <cellStyle name="Normal 108 5 3 2" xfId="7083"/>
    <cellStyle name="Normal 108 5 3 2 2" xfId="16124"/>
    <cellStyle name="Normal 108 5 3 3" xfId="11611"/>
    <cellStyle name="Normal 108 5 4" xfId="5186"/>
    <cellStyle name="Normal 108 5 4 2" xfId="14227"/>
    <cellStyle name="Normal 108 5 5" xfId="9714"/>
    <cellStyle name="Normal 108 6" xfId="1227"/>
    <cellStyle name="Normal 108 6 2" xfId="2568"/>
    <cellStyle name="Normal 108 6 2 2" xfId="7085"/>
    <cellStyle name="Normal 108 6 2 2 2" xfId="16126"/>
    <cellStyle name="Normal 108 6 2 3" xfId="11613"/>
    <cellStyle name="Normal 108 6 3" xfId="5750"/>
    <cellStyle name="Normal 108 6 3 2" xfId="14791"/>
    <cellStyle name="Normal 108 6 4" xfId="10278"/>
    <cellStyle name="Normal 108 7" xfId="2545"/>
    <cellStyle name="Normal 108 7 2" xfId="7062"/>
    <cellStyle name="Normal 108 7 2 2" xfId="16103"/>
    <cellStyle name="Normal 108 7 3" xfId="11590"/>
    <cellStyle name="Normal 108 8" xfId="4622"/>
    <cellStyle name="Normal 108 8 2" xfId="13663"/>
    <cellStyle name="Normal 108 9" xfId="9150"/>
    <cellStyle name="Normal 109" xfId="15"/>
    <cellStyle name="Normal 109 2" xfId="111"/>
    <cellStyle name="Normal 109 2 2" xfId="340"/>
    <cellStyle name="Normal 109 2 2 2" xfId="904"/>
    <cellStyle name="Normal 109 2 2 2 2" xfId="2074"/>
    <cellStyle name="Normal 109 2 2 2 2 2" xfId="2573"/>
    <cellStyle name="Normal 109 2 2 2 2 2 2" xfId="7090"/>
    <cellStyle name="Normal 109 2 2 2 2 2 2 2" xfId="16131"/>
    <cellStyle name="Normal 109 2 2 2 2 2 3" xfId="11618"/>
    <cellStyle name="Normal 109 2 2 2 2 3" xfId="6597"/>
    <cellStyle name="Normal 109 2 2 2 2 3 2" xfId="15638"/>
    <cellStyle name="Normal 109 2 2 2 2 4" xfId="11125"/>
    <cellStyle name="Normal 109 2 2 2 3" xfId="2572"/>
    <cellStyle name="Normal 109 2 2 2 3 2" xfId="7089"/>
    <cellStyle name="Normal 109 2 2 2 3 2 2" xfId="16130"/>
    <cellStyle name="Normal 109 2 2 2 3 3" xfId="11617"/>
    <cellStyle name="Normal 109 2 2 2 4" xfId="5469"/>
    <cellStyle name="Normal 109 2 2 2 4 2" xfId="14510"/>
    <cellStyle name="Normal 109 2 2 2 5" xfId="9997"/>
    <cellStyle name="Normal 109 2 2 3" xfId="1510"/>
    <cellStyle name="Normal 109 2 2 3 2" xfId="2574"/>
    <cellStyle name="Normal 109 2 2 3 2 2" xfId="7091"/>
    <cellStyle name="Normal 109 2 2 3 2 2 2" xfId="16132"/>
    <cellStyle name="Normal 109 2 2 3 2 3" xfId="11619"/>
    <cellStyle name="Normal 109 2 2 3 3" xfId="6033"/>
    <cellStyle name="Normal 109 2 2 3 3 2" xfId="15074"/>
    <cellStyle name="Normal 109 2 2 3 4" xfId="10561"/>
    <cellStyle name="Normal 109 2 2 4" xfId="2571"/>
    <cellStyle name="Normal 109 2 2 4 2" xfId="7088"/>
    <cellStyle name="Normal 109 2 2 4 2 2" xfId="16129"/>
    <cellStyle name="Normal 109 2 2 4 3" xfId="11616"/>
    <cellStyle name="Normal 109 2 2 5" xfId="4905"/>
    <cellStyle name="Normal 109 2 2 5 2" xfId="13946"/>
    <cellStyle name="Normal 109 2 2 6" xfId="9433"/>
    <cellStyle name="Normal 109 2 3" xfId="528"/>
    <cellStyle name="Normal 109 2 3 2" xfId="1092"/>
    <cellStyle name="Normal 109 2 3 2 2" xfId="2262"/>
    <cellStyle name="Normal 109 2 3 2 2 2" xfId="2577"/>
    <cellStyle name="Normal 109 2 3 2 2 2 2" xfId="7094"/>
    <cellStyle name="Normal 109 2 3 2 2 2 2 2" xfId="16135"/>
    <cellStyle name="Normal 109 2 3 2 2 2 3" xfId="11622"/>
    <cellStyle name="Normal 109 2 3 2 2 3" xfId="6785"/>
    <cellStyle name="Normal 109 2 3 2 2 3 2" xfId="15826"/>
    <cellStyle name="Normal 109 2 3 2 2 4" xfId="11313"/>
    <cellStyle name="Normal 109 2 3 2 3" xfId="2576"/>
    <cellStyle name="Normal 109 2 3 2 3 2" xfId="7093"/>
    <cellStyle name="Normal 109 2 3 2 3 2 2" xfId="16134"/>
    <cellStyle name="Normal 109 2 3 2 3 3" xfId="11621"/>
    <cellStyle name="Normal 109 2 3 2 4" xfId="5657"/>
    <cellStyle name="Normal 109 2 3 2 4 2" xfId="14698"/>
    <cellStyle name="Normal 109 2 3 2 5" xfId="10185"/>
    <cellStyle name="Normal 109 2 3 3" xfId="1698"/>
    <cellStyle name="Normal 109 2 3 3 2" xfId="2578"/>
    <cellStyle name="Normal 109 2 3 3 2 2" xfId="7095"/>
    <cellStyle name="Normal 109 2 3 3 2 2 2" xfId="16136"/>
    <cellStyle name="Normal 109 2 3 3 2 3" xfId="11623"/>
    <cellStyle name="Normal 109 2 3 3 3" xfId="6221"/>
    <cellStyle name="Normal 109 2 3 3 3 2" xfId="15262"/>
    <cellStyle name="Normal 109 2 3 3 4" xfId="10749"/>
    <cellStyle name="Normal 109 2 3 4" xfId="2575"/>
    <cellStyle name="Normal 109 2 3 4 2" xfId="7092"/>
    <cellStyle name="Normal 109 2 3 4 2 2" xfId="16133"/>
    <cellStyle name="Normal 109 2 3 4 3" xfId="11620"/>
    <cellStyle name="Normal 109 2 3 5" xfId="5093"/>
    <cellStyle name="Normal 109 2 3 5 2" xfId="14134"/>
    <cellStyle name="Normal 109 2 3 6" xfId="9621"/>
    <cellStyle name="Normal 109 2 4" xfId="716"/>
    <cellStyle name="Normal 109 2 4 2" xfId="1886"/>
    <cellStyle name="Normal 109 2 4 2 2" xfId="2580"/>
    <cellStyle name="Normal 109 2 4 2 2 2" xfId="7097"/>
    <cellStyle name="Normal 109 2 4 2 2 2 2" xfId="16138"/>
    <cellStyle name="Normal 109 2 4 2 2 3" xfId="11625"/>
    <cellStyle name="Normal 109 2 4 2 3" xfId="6409"/>
    <cellStyle name="Normal 109 2 4 2 3 2" xfId="15450"/>
    <cellStyle name="Normal 109 2 4 2 4" xfId="10937"/>
    <cellStyle name="Normal 109 2 4 3" xfId="2579"/>
    <cellStyle name="Normal 109 2 4 3 2" xfId="7096"/>
    <cellStyle name="Normal 109 2 4 3 2 2" xfId="16137"/>
    <cellStyle name="Normal 109 2 4 3 3" xfId="11624"/>
    <cellStyle name="Normal 109 2 4 4" xfId="5281"/>
    <cellStyle name="Normal 109 2 4 4 2" xfId="14322"/>
    <cellStyle name="Normal 109 2 4 5" xfId="9809"/>
    <cellStyle name="Normal 109 2 5" xfId="1322"/>
    <cellStyle name="Normal 109 2 5 2" xfId="2581"/>
    <cellStyle name="Normal 109 2 5 2 2" xfId="7098"/>
    <cellStyle name="Normal 109 2 5 2 2 2" xfId="16139"/>
    <cellStyle name="Normal 109 2 5 2 3" xfId="11626"/>
    <cellStyle name="Normal 109 2 5 3" xfId="5845"/>
    <cellStyle name="Normal 109 2 5 3 2" xfId="14886"/>
    <cellStyle name="Normal 109 2 5 4" xfId="10373"/>
    <cellStyle name="Normal 109 2 6" xfId="2570"/>
    <cellStyle name="Normal 109 2 6 2" xfId="7087"/>
    <cellStyle name="Normal 109 2 6 2 2" xfId="16128"/>
    <cellStyle name="Normal 109 2 6 3" xfId="11615"/>
    <cellStyle name="Normal 109 2 7" xfId="4717"/>
    <cellStyle name="Normal 109 2 7 2" xfId="13758"/>
    <cellStyle name="Normal 109 2 8" xfId="9245"/>
    <cellStyle name="Normal 109 3" xfId="246"/>
    <cellStyle name="Normal 109 3 2" xfId="810"/>
    <cellStyle name="Normal 109 3 2 2" xfId="1980"/>
    <cellStyle name="Normal 109 3 2 2 2" xfId="2584"/>
    <cellStyle name="Normal 109 3 2 2 2 2" xfId="7101"/>
    <cellStyle name="Normal 109 3 2 2 2 2 2" xfId="16142"/>
    <cellStyle name="Normal 109 3 2 2 2 3" xfId="11629"/>
    <cellStyle name="Normal 109 3 2 2 3" xfId="6503"/>
    <cellStyle name="Normal 109 3 2 2 3 2" xfId="15544"/>
    <cellStyle name="Normal 109 3 2 2 4" xfId="11031"/>
    <cellStyle name="Normal 109 3 2 3" xfId="2583"/>
    <cellStyle name="Normal 109 3 2 3 2" xfId="7100"/>
    <cellStyle name="Normal 109 3 2 3 2 2" xfId="16141"/>
    <cellStyle name="Normal 109 3 2 3 3" xfId="11628"/>
    <cellStyle name="Normal 109 3 2 4" xfId="5375"/>
    <cellStyle name="Normal 109 3 2 4 2" xfId="14416"/>
    <cellStyle name="Normal 109 3 2 5" xfId="9903"/>
    <cellStyle name="Normal 109 3 3" xfId="1416"/>
    <cellStyle name="Normal 109 3 3 2" xfId="2585"/>
    <cellStyle name="Normal 109 3 3 2 2" xfId="7102"/>
    <cellStyle name="Normal 109 3 3 2 2 2" xfId="16143"/>
    <cellStyle name="Normal 109 3 3 2 3" xfId="11630"/>
    <cellStyle name="Normal 109 3 3 3" xfId="5939"/>
    <cellStyle name="Normal 109 3 3 3 2" xfId="14980"/>
    <cellStyle name="Normal 109 3 3 4" xfId="10467"/>
    <cellStyle name="Normal 109 3 4" xfId="2582"/>
    <cellStyle name="Normal 109 3 4 2" xfId="7099"/>
    <cellStyle name="Normal 109 3 4 2 2" xfId="16140"/>
    <cellStyle name="Normal 109 3 4 3" xfId="11627"/>
    <cellStyle name="Normal 109 3 5" xfId="4811"/>
    <cellStyle name="Normal 109 3 5 2" xfId="13852"/>
    <cellStyle name="Normal 109 3 6" xfId="9339"/>
    <cellStyle name="Normal 109 4" xfId="434"/>
    <cellStyle name="Normal 109 4 2" xfId="998"/>
    <cellStyle name="Normal 109 4 2 2" xfId="2168"/>
    <cellStyle name="Normal 109 4 2 2 2" xfId="2588"/>
    <cellStyle name="Normal 109 4 2 2 2 2" xfId="7105"/>
    <cellStyle name="Normal 109 4 2 2 2 2 2" xfId="16146"/>
    <cellStyle name="Normal 109 4 2 2 2 3" xfId="11633"/>
    <cellStyle name="Normal 109 4 2 2 3" xfId="6691"/>
    <cellStyle name="Normal 109 4 2 2 3 2" xfId="15732"/>
    <cellStyle name="Normal 109 4 2 2 4" xfId="11219"/>
    <cellStyle name="Normal 109 4 2 3" xfId="2587"/>
    <cellStyle name="Normal 109 4 2 3 2" xfId="7104"/>
    <cellStyle name="Normal 109 4 2 3 2 2" xfId="16145"/>
    <cellStyle name="Normal 109 4 2 3 3" xfId="11632"/>
    <cellStyle name="Normal 109 4 2 4" xfId="5563"/>
    <cellStyle name="Normal 109 4 2 4 2" xfId="14604"/>
    <cellStyle name="Normal 109 4 2 5" xfId="10091"/>
    <cellStyle name="Normal 109 4 3" xfId="1604"/>
    <cellStyle name="Normal 109 4 3 2" xfId="2589"/>
    <cellStyle name="Normal 109 4 3 2 2" xfId="7106"/>
    <cellStyle name="Normal 109 4 3 2 2 2" xfId="16147"/>
    <cellStyle name="Normal 109 4 3 2 3" xfId="11634"/>
    <cellStyle name="Normal 109 4 3 3" xfId="6127"/>
    <cellStyle name="Normal 109 4 3 3 2" xfId="15168"/>
    <cellStyle name="Normal 109 4 3 4" xfId="10655"/>
    <cellStyle name="Normal 109 4 4" xfId="2586"/>
    <cellStyle name="Normal 109 4 4 2" xfId="7103"/>
    <cellStyle name="Normal 109 4 4 2 2" xfId="16144"/>
    <cellStyle name="Normal 109 4 4 3" xfId="11631"/>
    <cellStyle name="Normal 109 4 5" xfId="4999"/>
    <cellStyle name="Normal 109 4 5 2" xfId="14040"/>
    <cellStyle name="Normal 109 4 6" xfId="9527"/>
    <cellStyle name="Normal 109 5" xfId="622"/>
    <cellStyle name="Normal 109 5 2" xfId="1792"/>
    <cellStyle name="Normal 109 5 2 2" xfId="2591"/>
    <cellStyle name="Normal 109 5 2 2 2" xfId="7108"/>
    <cellStyle name="Normal 109 5 2 2 2 2" xfId="16149"/>
    <cellStyle name="Normal 109 5 2 2 3" xfId="11636"/>
    <cellStyle name="Normal 109 5 2 3" xfId="6315"/>
    <cellStyle name="Normal 109 5 2 3 2" xfId="15356"/>
    <cellStyle name="Normal 109 5 2 4" xfId="10843"/>
    <cellStyle name="Normal 109 5 3" xfId="2590"/>
    <cellStyle name="Normal 109 5 3 2" xfId="7107"/>
    <cellStyle name="Normal 109 5 3 2 2" xfId="16148"/>
    <cellStyle name="Normal 109 5 3 3" xfId="11635"/>
    <cellStyle name="Normal 109 5 4" xfId="5187"/>
    <cellStyle name="Normal 109 5 4 2" xfId="14228"/>
    <cellStyle name="Normal 109 5 5" xfId="9715"/>
    <cellStyle name="Normal 109 6" xfId="1228"/>
    <cellStyle name="Normal 109 6 2" xfId="2592"/>
    <cellStyle name="Normal 109 6 2 2" xfId="7109"/>
    <cellStyle name="Normal 109 6 2 2 2" xfId="16150"/>
    <cellStyle name="Normal 109 6 2 3" xfId="11637"/>
    <cellStyle name="Normal 109 6 3" xfId="5751"/>
    <cellStyle name="Normal 109 6 3 2" xfId="14792"/>
    <cellStyle name="Normal 109 6 4" xfId="10279"/>
    <cellStyle name="Normal 109 7" xfId="2569"/>
    <cellStyle name="Normal 109 7 2" xfId="7086"/>
    <cellStyle name="Normal 109 7 2 2" xfId="16127"/>
    <cellStyle name="Normal 109 7 3" xfId="11614"/>
    <cellStyle name="Normal 109 8" xfId="4623"/>
    <cellStyle name="Normal 109 8 2" xfId="13664"/>
    <cellStyle name="Normal 109 9" xfId="9151"/>
    <cellStyle name="Normal 110" xfId="16"/>
    <cellStyle name="Normal 110 2" xfId="112"/>
    <cellStyle name="Normal 110 2 2" xfId="341"/>
    <cellStyle name="Normal 110 2 2 2" xfId="905"/>
    <cellStyle name="Normal 110 2 2 2 2" xfId="2075"/>
    <cellStyle name="Normal 110 2 2 2 2 2" xfId="2597"/>
    <cellStyle name="Normal 110 2 2 2 2 2 2" xfId="7114"/>
    <cellStyle name="Normal 110 2 2 2 2 2 2 2" xfId="16155"/>
    <cellStyle name="Normal 110 2 2 2 2 2 3" xfId="11642"/>
    <cellStyle name="Normal 110 2 2 2 2 3" xfId="6598"/>
    <cellStyle name="Normal 110 2 2 2 2 3 2" xfId="15639"/>
    <cellStyle name="Normal 110 2 2 2 2 4" xfId="11126"/>
    <cellStyle name="Normal 110 2 2 2 3" xfId="2596"/>
    <cellStyle name="Normal 110 2 2 2 3 2" xfId="7113"/>
    <cellStyle name="Normal 110 2 2 2 3 2 2" xfId="16154"/>
    <cellStyle name="Normal 110 2 2 2 3 3" xfId="11641"/>
    <cellStyle name="Normal 110 2 2 2 4" xfId="5470"/>
    <cellStyle name="Normal 110 2 2 2 4 2" xfId="14511"/>
    <cellStyle name="Normal 110 2 2 2 5" xfId="9998"/>
    <cellStyle name="Normal 110 2 2 3" xfId="1511"/>
    <cellStyle name="Normal 110 2 2 3 2" xfId="2598"/>
    <cellStyle name="Normal 110 2 2 3 2 2" xfId="7115"/>
    <cellStyle name="Normal 110 2 2 3 2 2 2" xfId="16156"/>
    <cellStyle name="Normal 110 2 2 3 2 3" xfId="11643"/>
    <cellStyle name="Normal 110 2 2 3 3" xfId="6034"/>
    <cellStyle name="Normal 110 2 2 3 3 2" xfId="15075"/>
    <cellStyle name="Normal 110 2 2 3 4" xfId="10562"/>
    <cellStyle name="Normal 110 2 2 4" xfId="2595"/>
    <cellStyle name="Normal 110 2 2 4 2" xfId="7112"/>
    <cellStyle name="Normal 110 2 2 4 2 2" xfId="16153"/>
    <cellStyle name="Normal 110 2 2 4 3" xfId="11640"/>
    <cellStyle name="Normal 110 2 2 5" xfId="4906"/>
    <cellStyle name="Normal 110 2 2 5 2" xfId="13947"/>
    <cellStyle name="Normal 110 2 2 6" xfId="9434"/>
    <cellStyle name="Normal 110 2 3" xfId="529"/>
    <cellStyle name="Normal 110 2 3 2" xfId="1093"/>
    <cellStyle name="Normal 110 2 3 2 2" xfId="2263"/>
    <cellStyle name="Normal 110 2 3 2 2 2" xfId="2601"/>
    <cellStyle name="Normal 110 2 3 2 2 2 2" xfId="7118"/>
    <cellStyle name="Normal 110 2 3 2 2 2 2 2" xfId="16159"/>
    <cellStyle name="Normal 110 2 3 2 2 2 3" xfId="11646"/>
    <cellStyle name="Normal 110 2 3 2 2 3" xfId="6786"/>
    <cellStyle name="Normal 110 2 3 2 2 3 2" xfId="15827"/>
    <cellStyle name="Normal 110 2 3 2 2 4" xfId="11314"/>
    <cellStyle name="Normal 110 2 3 2 3" xfId="2600"/>
    <cellStyle name="Normal 110 2 3 2 3 2" xfId="7117"/>
    <cellStyle name="Normal 110 2 3 2 3 2 2" xfId="16158"/>
    <cellStyle name="Normal 110 2 3 2 3 3" xfId="11645"/>
    <cellStyle name="Normal 110 2 3 2 4" xfId="5658"/>
    <cellStyle name="Normal 110 2 3 2 4 2" xfId="14699"/>
    <cellStyle name="Normal 110 2 3 2 5" xfId="10186"/>
    <cellStyle name="Normal 110 2 3 3" xfId="1699"/>
    <cellStyle name="Normal 110 2 3 3 2" xfId="2602"/>
    <cellStyle name="Normal 110 2 3 3 2 2" xfId="7119"/>
    <cellStyle name="Normal 110 2 3 3 2 2 2" xfId="16160"/>
    <cellStyle name="Normal 110 2 3 3 2 3" xfId="11647"/>
    <cellStyle name="Normal 110 2 3 3 3" xfId="6222"/>
    <cellStyle name="Normal 110 2 3 3 3 2" xfId="15263"/>
    <cellStyle name="Normal 110 2 3 3 4" xfId="10750"/>
    <cellStyle name="Normal 110 2 3 4" xfId="2599"/>
    <cellStyle name="Normal 110 2 3 4 2" xfId="7116"/>
    <cellStyle name="Normal 110 2 3 4 2 2" xfId="16157"/>
    <cellStyle name="Normal 110 2 3 4 3" xfId="11644"/>
    <cellStyle name="Normal 110 2 3 5" xfId="5094"/>
    <cellStyle name="Normal 110 2 3 5 2" xfId="14135"/>
    <cellStyle name="Normal 110 2 3 6" xfId="9622"/>
    <cellStyle name="Normal 110 2 4" xfId="717"/>
    <cellStyle name="Normal 110 2 4 2" xfId="1887"/>
    <cellStyle name="Normal 110 2 4 2 2" xfId="2604"/>
    <cellStyle name="Normal 110 2 4 2 2 2" xfId="7121"/>
    <cellStyle name="Normal 110 2 4 2 2 2 2" xfId="16162"/>
    <cellStyle name="Normal 110 2 4 2 2 3" xfId="11649"/>
    <cellStyle name="Normal 110 2 4 2 3" xfId="6410"/>
    <cellStyle name="Normal 110 2 4 2 3 2" xfId="15451"/>
    <cellStyle name="Normal 110 2 4 2 4" xfId="10938"/>
    <cellStyle name="Normal 110 2 4 3" xfId="2603"/>
    <cellStyle name="Normal 110 2 4 3 2" xfId="7120"/>
    <cellStyle name="Normal 110 2 4 3 2 2" xfId="16161"/>
    <cellStyle name="Normal 110 2 4 3 3" xfId="11648"/>
    <cellStyle name="Normal 110 2 4 4" xfId="5282"/>
    <cellStyle name="Normal 110 2 4 4 2" xfId="14323"/>
    <cellStyle name="Normal 110 2 4 5" xfId="9810"/>
    <cellStyle name="Normal 110 2 5" xfId="1323"/>
    <cellStyle name="Normal 110 2 5 2" xfId="2605"/>
    <cellStyle name="Normal 110 2 5 2 2" xfId="7122"/>
    <cellStyle name="Normal 110 2 5 2 2 2" xfId="16163"/>
    <cellStyle name="Normal 110 2 5 2 3" xfId="11650"/>
    <cellStyle name="Normal 110 2 5 3" xfId="5846"/>
    <cellStyle name="Normal 110 2 5 3 2" xfId="14887"/>
    <cellStyle name="Normal 110 2 5 4" xfId="10374"/>
    <cellStyle name="Normal 110 2 6" xfId="2594"/>
    <cellStyle name="Normal 110 2 6 2" xfId="7111"/>
    <cellStyle name="Normal 110 2 6 2 2" xfId="16152"/>
    <cellStyle name="Normal 110 2 6 3" xfId="11639"/>
    <cellStyle name="Normal 110 2 7" xfId="4718"/>
    <cellStyle name="Normal 110 2 7 2" xfId="13759"/>
    <cellStyle name="Normal 110 2 8" xfId="9246"/>
    <cellStyle name="Normal 110 3" xfId="247"/>
    <cellStyle name="Normal 110 3 2" xfId="811"/>
    <cellStyle name="Normal 110 3 2 2" xfId="1981"/>
    <cellStyle name="Normal 110 3 2 2 2" xfId="2608"/>
    <cellStyle name="Normal 110 3 2 2 2 2" xfId="7125"/>
    <cellStyle name="Normal 110 3 2 2 2 2 2" xfId="16166"/>
    <cellStyle name="Normal 110 3 2 2 2 3" xfId="11653"/>
    <cellStyle name="Normal 110 3 2 2 3" xfId="6504"/>
    <cellStyle name="Normal 110 3 2 2 3 2" xfId="15545"/>
    <cellStyle name="Normal 110 3 2 2 4" xfId="11032"/>
    <cellStyle name="Normal 110 3 2 3" xfId="2607"/>
    <cellStyle name="Normal 110 3 2 3 2" xfId="7124"/>
    <cellStyle name="Normal 110 3 2 3 2 2" xfId="16165"/>
    <cellStyle name="Normal 110 3 2 3 3" xfId="11652"/>
    <cellStyle name="Normal 110 3 2 4" xfId="5376"/>
    <cellStyle name="Normal 110 3 2 4 2" xfId="14417"/>
    <cellStyle name="Normal 110 3 2 5" xfId="9904"/>
    <cellStyle name="Normal 110 3 3" xfId="1417"/>
    <cellStyle name="Normal 110 3 3 2" xfId="2609"/>
    <cellStyle name="Normal 110 3 3 2 2" xfId="7126"/>
    <cellStyle name="Normal 110 3 3 2 2 2" xfId="16167"/>
    <cellStyle name="Normal 110 3 3 2 3" xfId="11654"/>
    <cellStyle name="Normal 110 3 3 3" xfId="5940"/>
    <cellStyle name="Normal 110 3 3 3 2" xfId="14981"/>
    <cellStyle name="Normal 110 3 3 4" xfId="10468"/>
    <cellStyle name="Normal 110 3 4" xfId="2606"/>
    <cellStyle name="Normal 110 3 4 2" xfId="7123"/>
    <cellStyle name="Normal 110 3 4 2 2" xfId="16164"/>
    <cellStyle name="Normal 110 3 4 3" xfId="11651"/>
    <cellStyle name="Normal 110 3 5" xfId="4812"/>
    <cellStyle name="Normal 110 3 5 2" xfId="13853"/>
    <cellStyle name="Normal 110 3 6" xfId="9340"/>
    <cellStyle name="Normal 110 4" xfId="435"/>
    <cellStyle name="Normal 110 4 2" xfId="999"/>
    <cellStyle name="Normal 110 4 2 2" xfId="2169"/>
    <cellStyle name="Normal 110 4 2 2 2" xfId="2612"/>
    <cellStyle name="Normal 110 4 2 2 2 2" xfId="7129"/>
    <cellStyle name="Normal 110 4 2 2 2 2 2" xfId="16170"/>
    <cellStyle name="Normal 110 4 2 2 2 3" xfId="11657"/>
    <cellStyle name="Normal 110 4 2 2 3" xfId="6692"/>
    <cellStyle name="Normal 110 4 2 2 3 2" xfId="15733"/>
    <cellStyle name="Normal 110 4 2 2 4" xfId="11220"/>
    <cellStyle name="Normal 110 4 2 3" xfId="2611"/>
    <cellStyle name="Normal 110 4 2 3 2" xfId="7128"/>
    <cellStyle name="Normal 110 4 2 3 2 2" xfId="16169"/>
    <cellStyle name="Normal 110 4 2 3 3" xfId="11656"/>
    <cellStyle name="Normal 110 4 2 4" xfId="5564"/>
    <cellStyle name="Normal 110 4 2 4 2" xfId="14605"/>
    <cellStyle name="Normal 110 4 2 5" xfId="10092"/>
    <cellStyle name="Normal 110 4 3" xfId="1605"/>
    <cellStyle name="Normal 110 4 3 2" xfId="2613"/>
    <cellStyle name="Normal 110 4 3 2 2" xfId="7130"/>
    <cellStyle name="Normal 110 4 3 2 2 2" xfId="16171"/>
    <cellStyle name="Normal 110 4 3 2 3" xfId="11658"/>
    <cellStyle name="Normal 110 4 3 3" xfId="6128"/>
    <cellStyle name="Normal 110 4 3 3 2" xfId="15169"/>
    <cellStyle name="Normal 110 4 3 4" xfId="10656"/>
    <cellStyle name="Normal 110 4 4" xfId="2610"/>
    <cellStyle name="Normal 110 4 4 2" xfId="7127"/>
    <cellStyle name="Normal 110 4 4 2 2" xfId="16168"/>
    <cellStyle name="Normal 110 4 4 3" xfId="11655"/>
    <cellStyle name="Normal 110 4 5" xfId="5000"/>
    <cellStyle name="Normal 110 4 5 2" xfId="14041"/>
    <cellStyle name="Normal 110 4 6" xfId="9528"/>
    <cellStyle name="Normal 110 5" xfId="623"/>
    <cellStyle name="Normal 110 5 2" xfId="1793"/>
    <cellStyle name="Normal 110 5 2 2" xfId="2615"/>
    <cellStyle name="Normal 110 5 2 2 2" xfId="7132"/>
    <cellStyle name="Normal 110 5 2 2 2 2" xfId="16173"/>
    <cellStyle name="Normal 110 5 2 2 3" xfId="11660"/>
    <cellStyle name="Normal 110 5 2 3" xfId="6316"/>
    <cellStyle name="Normal 110 5 2 3 2" xfId="15357"/>
    <cellStyle name="Normal 110 5 2 4" xfId="10844"/>
    <cellStyle name="Normal 110 5 3" xfId="2614"/>
    <cellStyle name="Normal 110 5 3 2" xfId="7131"/>
    <cellStyle name="Normal 110 5 3 2 2" xfId="16172"/>
    <cellStyle name="Normal 110 5 3 3" xfId="11659"/>
    <cellStyle name="Normal 110 5 4" xfId="5188"/>
    <cellStyle name="Normal 110 5 4 2" xfId="14229"/>
    <cellStyle name="Normal 110 5 5" xfId="9716"/>
    <cellStyle name="Normal 110 6" xfId="1229"/>
    <cellStyle name="Normal 110 6 2" xfId="2616"/>
    <cellStyle name="Normal 110 6 2 2" xfId="7133"/>
    <cellStyle name="Normal 110 6 2 2 2" xfId="16174"/>
    <cellStyle name="Normal 110 6 2 3" xfId="11661"/>
    <cellStyle name="Normal 110 6 3" xfId="5752"/>
    <cellStyle name="Normal 110 6 3 2" xfId="14793"/>
    <cellStyle name="Normal 110 6 4" xfId="10280"/>
    <cellStyle name="Normal 110 7" xfId="2593"/>
    <cellStyle name="Normal 110 7 2" xfId="7110"/>
    <cellStyle name="Normal 110 7 2 2" xfId="16151"/>
    <cellStyle name="Normal 110 7 3" xfId="11638"/>
    <cellStyle name="Normal 110 8" xfId="4624"/>
    <cellStyle name="Normal 110 8 2" xfId="13665"/>
    <cellStyle name="Normal 110 9" xfId="9152"/>
    <cellStyle name="Normal 111" xfId="17"/>
    <cellStyle name="Normal 111 2" xfId="113"/>
    <cellStyle name="Normal 111 2 2" xfId="342"/>
    <cellStyle name="Normal 111 2 2 2" xfId="906"/>
    <cellStyle name="Normal 111 2 2 2 2" xfId="2076"/>
    <cellStyle name="Normal 111 2 2 2 2 2" xfId="2621"/>
    <cellStyle name="Normal 111 2 2 2 2 2 2" xfId="7138"/>
    <cellStyle name="Normal 111 2 2 2 2 2 2 2" xfId="16179"/>
    <cellStyle name="Normal 111 2 2 2 2 2 3" xfId="11666"/>
    <cellStyle name="Normal 111 2 2 2 2 3" xfId="6599"/>
    <cellStyle name="Normal 111 2 2 2 2 3 2" xfId="15640"/>
    <cellStyle name="Normal 111 2 2 2 2 4" xfId="11127"/>
    <cellStyle name="Normal 111 2 2 2 3" xfId="2620"/>
    <cellStyle name="Normal 111 2 2 2 3 2" xfId="7137"/>
    <cellStyle name="Normal 111 2 2 2 3 2 2" xfId="16178"/>
    <cellStyle name="Normal 111 2 2 2 3 3" xfId="11665"/>
    <cellStyle name="Normal 111 2 2 2 4" xfId="5471"/>
    <cellStyle name="Normal 111 2 2 2 4 2" xfId="14512"/>
    <cellStyle name="Normal 111 2 2 2 5" xfId="9999"/>
    <cellStyle name="Normal 111 2 2 3" xfId="1512"/>
    <cellStyle name="Normal 111 2 2 3 2" xfId="2622"/>
    <cellStyle name="Normal 111 2 2 3 2 2" xfId="7139"/>
    <cellStyle name="Normal 111 2 2 3 2 2 2" xfId="16180"/>
    <cellStyle name="Normal 111 2 2 3 2 3" xfId="11667"/>
    <cellStyle name="Normal 111 2 2 3 3" xfId="6035"/>
    <cellStyle name="Normal 111 2 2 3 3 2" xfId="15076"/>
    <cellStyle name="Normal 111 2 2 3 4" xfId="10563"/>
    <cellStyle name="Normal 111 2 2 4" xfId="2619"/>
    <cellStyle name="Normal 111 2 2 4 2" xfId="7136"/>
    <cellStyle name="Normal 111 2 2 4 2 2" xfId="16177"/>
    <cellStyle name="Normal 111 2 2 4 3" xfId="11664"/>
    <cellStyle name="Normal 111 2 2 5" xfId="4907"/>
    <cellStyle name="Normal 111 2 2 5 2" xfId="13948"/>
    <cellStyle name="Normal 111 2 2 6" xfId="9435"/>
    <cellStyle name="Normal 111 2 3" xfId="530"/>
    <cellStyle name="Normal 111 2 3 2" xfId="1094"/>
    <cellStyle name="Normal 111 2 3 2 2" xfId="2264"/>
    <cellStyle name="Normal 111 2 3 2 2 2" xfId="2625"/>
    <cellStyle name="Normal 111 2 3 2 2 2 2" xfId="7142"/>
    <cellStyle name="Normal 111 2 3 2 2 2 2 2" xfId="16183"/>
    <cellStyle name="Normal 111 2 3 2 2 2 3" xfId="11670"/>
    <cellStyle name="Normal 111 2 3 2 2 3" xfId="6787"/>
    <cellStyle name="Normal 111 2 3 2 2 3 2" xfId="15828"/>
    <cellStyle name="Normal 111 2 3 2 2 4" xfId="11315"/>
    <cellStyle name="Normal 111 2 3 2 3" xfId="2624"/>
    <cellStyle name="Normal 111 2 3 2 3 2" xfId="7141"/>
    <cellStyle name="Normal 111 2 3 2 3 2 2" xfId="16182"/>
    <cellStyle name="Normal 111 2 3 2 3 3" xfId="11669"/>
    <cellStyle name="Normal 111 2 3 2 4" xfId="5659"/>
    <cellStyle name="Normal 111 2 3 2 4 2" xfId="14700"/>
    <cellStyle name="Normal 111 2 3 2 5" xfId="10187"/>
    <cellStyle name="Normal 111 2 3 3" xfId="1700"/>
    <cellStyle name="Normal 111 2 3 3 2" xfId="2626"/>
    <cellStyle name="Normal 111 2 3 3 2 2" xfId="7143"/>
    <cellStyle name="Normal 111 2 3 3 2 2 2" xfId="16184"/>
    <cellStyle name="Normal 111 2 3 3 2 3" xfId="11671"/>
    <cellStyle name="Normal 111 2 3 3 3" xfId="6223"/>
    <cellStyle name="Normal 111 2 3 3 3 2" xfId="15264"/>
    <cellStyle name="Normal 111 2 3 3 4" xfId="10751"/>
    <cellStyle name="Normal 111 2 3 4" xfId="2623"/>
    <cellStyle name="Normal 111 2 3 4 2" xfId="7140"/>
    <cellStyle name="Normal 111 2 3 4 2 2" xfId="16181"/>
    <cellStyle name="Normal 111 2 3 4 3" xfId="11668"/>
    <cellStyle name="Normal 111 2 3 5" xfId="5095"/>
    <cellStyle name="Normal 111 2 3 5 2" xfId="14136"/>
    <cellStyle name="Normal 111 2 3 6" xfId="9623"/>
    <cellStyle name="Normal 111 2 4" xfId="718"/>
    <cellStyle name="Normal 111 2 4 2" xfId="1888"/>
    <cellStyle name="Normal 111 2 4 2 2" xfId="2628"/>
    <cellStyle name="Normal 111 2 4 2 2 2" xfId="7145"/>
    <cellStyle name="Normal 111 2 4 2 2 2 2" xfId="16186"/>
    <cellStyle name="Normal 111 2 4 2 2 3" xfId="11673"/>
    <cellStyle name="Normal 111 2 4 2 3" xfId="6411"/>
    <cellStyle name="Normal 111 2 4 2 3 2" xfId="15452"/>
    <cellStyle name="Normal 111 2 4 2 4" xfId="10939"/>
    <cellStyle name="Normal 111 2 4 3" xfId="2627"/>
    <cellStyle name="Normal 111 2 4 3 2" xfId="7144"/>
    <cellStyle name="Normal 111 2 4 3 2 2" xfId="16185"/>
    <cellStyle name="Normal 111 2 4 3 3" xfId="11672"/>
    <cellStyle name="Normal 111 2 4 4" xfId="5283"/>
    <cellStyle name="Normal 111 2 4 4 2" xfId="14324"/>
    <cellStyle name="Normal 111 2 4 5" xfId="9811"/>
    <cellStyle name="Normal 111 2 5" xfId="1324"/>
    <cellStyle name="Normal 111 2 5 2" xfId="2629"/>
    <cellStyle name="Normal 111 2 5 2 2" xfId="7146"/>
    <cellStyle name="Normal 111 2 5 2 2 2" xfId="16187"/>
    <cellStyle name="Normal 111 2 5 2 3" xfId="11674"/>
    <cellStyle name="Normal 111 2 5 3" xfId="5847"/>
    <cellStyle name="Normal 111 2 5 3 2" xfId="14888"/>
    <cellStyle name="Normal 111 2 5 4" xfId="10375"/>
    <cellStyle name="Normal 111 2 6" xfId="2618"/>
    <cellStyle name="Normal 111 2 6 2" xfId="7135"/>
    <cellStyle name="Normal 111 2 6 2 2" xfId="16176"/>
    <cellStyle name="Normal 111 2 6 3" xfId="11663"/>
    <cellStyle name="Normal 111 2 7" xfId="4719"/>
    <cellStyle name="Normal 111 2 7 2" xfId="13760"/>
    <cellStyle name="Normal 111 2 8" xfId="9247"/>
    <cellStyle name="Normal 111 3" xfId="248"/>
    <cellStyle name="Normal 111 3 2" xfId="812"/>
    <cellStyle name="Normal 111 3 2 2" xfId="1982"/>
    <cellStyle name="Normal 111 3 2 2 2" xfId="2632"/>
    <cellStyle name="Normal 111 3 2 2 2 2" xfId="7149"/>
    <cellStyle name="Normal 111 3 2 2 2 2 2" xfId="16190"/>
    <cellStyle name="Normal 111 3 2 2 2 3" xfId="11677"/>
    <cellStyle name="Normal 111 3 2 2 3" xfId="6505"/>
    <cellStyle name="Normal 111 3 2 2 3 2" xfId="15546"/>
    <cellStyle name="Normal 111 3 2 2 4" xfId="11033"/>
    <cellStyle name="Normal 111 3 2 3" xfId="2631"/>
    <cellStyle name="Normal 111 3 2 3 2" xfId="7148"/>
    <cellStyle name="Normal 111 3 2 3 2 2" xfId="16189"/>
    <cellStyle name="Normal 111 3 2 3 3" xfId="11676"/>
    <cellStyle name="Normal 111 3 2 4" xfId="5377"/>
    <cellStyle name="Normal 111 3 2 4 2" xfId="14418"/>
    <cellStyle name="Normal 111 3 2 5" xfId="9905"/>
    <cellStyle name="Normal 111 3 3" xfId="1418"/>
    <cellStyle name="Normal 111 3 3 2" xfId="2633"/>
    <cellStyle name="Normal 111 3 3 2 2" xfId="7150"/>
    <cellStyle name="Normal 111 3 3 2 2 2" xfId="16191"/>
    <cellStyle name="Normal 111 3 3 2 3" xfId="11678"/>
    <cellStyle name="Normal 111 3 3 3" xfId="5941"/>
    <cellStyle name="Normal 111 3 3 3 2" xfId="14982"/>
    <cellStyle name="Normal 111 3 3 4" xfId="10469"/>
    <cellStyle name="Normal 111 3 4" xfId="2630"/>
    <cellStyle name="Normal 111 3 4 2" xfId="7147"/>
    <cellStyle name="Normal 111 3 4 2 2" xfId="16188"/>
    <cellStyle name="Normal 111 3 4 3" xfId="11675"/>
    <cellStyle name="Normal 111 3 5" xfId="4813"/>
    <cellStyle name="Normal 111 3 5 2" xfId="13854"/>
    <cellStyle name="Normal 111 3 6" xfId="9341"/>
    <cellStyle name="Normal 111 4" xfId="436"/>
    <cellStyle name="Normal 111 4 2" xfId="1000"/>
    <cellStyle name="Normal 111 4 2 2" xfId="2170"/>
    <cellStyle name="Normal 111 4 2 2 2" xfId="2636"/>
    <cellStyle name="Normal 111 4 2 2 2 2" xfId="7153"/>
    <cellStyle name="Normal 111 4 2 2 2 2 2" xfId="16194"/>
    <cellStyle name="Normal 111 4 2 2 2 3" xfId="11681"/>
    <cellStyle name="Normal 111 4 2 2 3" xfId="6693"/>
    <cellStyle name="Normal 111 4 2 2 3 2" xfId="15734"/>
    <cellStyle name="Normal 111 4 2 2 4" xfId="11221"/>
    <cellStyle name="Normal 111 4 2 3" xfId="2635"/>
    <cellStyle name="Normal 111 4 2 3 2" xfId="7152"/>
    <cellStyle name="Normal 111 4 2 3 2 2" xfId="16193"/>
    <cellStyle name="Normal 111 4 2 3 3" xfId="11680"/>
    <cellStyle name="Normal 111 4 2 4" xfId="5565"/>
    <cellStyle name="Normal 111 4 2 4 2" xfId="14606"/>
    <cellStyle name="Normal 111 4 2 5" xfId="10093"/>
    <cellStyle name="Normal 111 4 3" xfId="1606"/>
    <cellStyle name="Normal 111 4 3 2" xfId="2637"/>
    <cellStyle name="Normal 111 4 3 2 2" xfId="7154"/>
    <cellStyle name="Normal 111 4 3 2 2 2" xfId="16195"/>
    <cellStyle name="Normal 111 4 3 2 3" xfId="11682"/>
    <cellStyle name="Normal 111 4 3 3" xfId="6129"/>
    <cellStyle name="Normal 111 4 3 3 2" xfId="15170"/>
    <cellStyle name="Normal 111 4 3 4" xfId="10657"/>
    <cellStyle name="Normal 111 4 4" xfId="2634"/>
    <cellStyle name="Normal 111 4 4 2" xfId="7151"/>
    <cellStyle name="Normal 111 4 4 2 2" xfId="16192"/>
    <cellStyle name="Normal 111 4 4 3" xfId="11679"/>
    <cellStyle name="Normal 111 4 5" xfId="5001"/>
    <cellStyle name="Normal 111 4 5 2" xfId="14042"/>
    <cellStyle name="Normal 111 4 6" xfId="9529"/>
    <cellStyle name="Normal 111 5" xfId="624"/>
    <cellStyle name="Normal 111 5 2" xfId="1794"/>
    <cellStyle name="Normal 111 5 2 2" xfId="2639"/>
    <cellStyle name="Normal 111 5 2 2 2" xfId="7156"/>
    <cellStyle name="Normal 111 5 2 2 2 2" xfId="16197"/>
    <cellStyle name="Normal 111 5 2 2 3" xfId="11684"/>
    <cellStyle name="Normal 111 5 2 3" xfId="6317"/>
    <cellStyle name="Normal 111 5 2 3 2" xfId="15358"/>
    <cellStyle name="Normal 111 5 2 4" xfId="10845"/>
    <cellStyle name="Normal 111 5 3" xfId="2638"/>
    <cellStyle name="Normal 111 5 3 2" xfId="7155"/>
    <cellStyle name="Normal 111 5 3 2 2" xfId="16196"/>
    <cellStyle name="Normal 111 5 3 3" xfId="11683"/>
    <cellStyle name="Normal 111 5 4" xfId="5189"/>
    <cellStyle name="Normal 111 5 4 2" xfId="14230"/>
    <cellStyle name="Normal 111 5 5" xfId="9717"/>
    <cellStyle name="Normal 111 6" xfId="1230"/>
    <cellStyle name="Normal 111 6 2" xfId="2640"/>
    <cellStyle name="Normal 111 6 2 2" xfId="7157"/>
    <cellStyle name="Normal 111 6 2 2 2" xfId="16198"/>
    <cellStyle name="Normal 111 6 2 3" xfId="11685"/>
    <cellStyle name="Normal 111 6 3" xfId="5753"/>
    <cellStyle name="Normal 111 6 3 2" xfId="14794"/>
    <cellStyle name="Normal 111 6 4" xfId="10281"/>
    <cellStyle name="Normal 111 7" xfId="2617"/>
    <cellStyle name="Normal 111 7 2" xfId="7134"/>
    <cellStyle name="Normal 111 7 2 2" xfId="16175"/>
    <cellStyle name="Normal 111 7 3" xfId="11662"/>
    <cellStyle name="Normal 111 8" xfId="4625"/>
    <cellStyle name="Normal 111 8 2" xfId="13666"/>
    <cellStyle name="Normal 111 9" xfId="9153"/>
    <cellStyle name="Normal 112" xfId="18"/>
    <cellStyle name="Normal 112 2" xfId="114"/>
    <cellStyle name="Normal 112 2 2" xfId="343"/>
    <cellStyle name="Normal 112 2 2 2" xfId="907"/>
    <cellStyle name="Normal 112 2 2 2 2" xfId="2077"/>
    <cellStyle name="Normal 112 2 2 2 2 2" xfId="2645"/>
    <cellStyle name="Normal 112 2 2 2 2 2 2" xfId="7162"/>
    <cellStyle name="Normal 112 2 2 2 2 2 2 2" xfId="16203"/>
    <cellStyle name="Normal 112 2 2 2 2 2 3" xfId="11690"/>
    <cellStyle name="Normal 112 2 2 2 2 3" xfId="6600"/>
    <cellStyle name="Normal 112 2 2 2 2 3 2" xfId="15641"/>
    <cellStyle name="Normal 112 2 2 2 2 4" xfId="11128"/>
    <cellStyle name="Normal 112 2 2 2 3" xfId="2644"/>
    <cellStyle name="Normal 112 2 2 2 3 2" xfId="7161"/>
    <cellStyle name="Normal 112 2 2 2 3 2 2" xfId="16202"/>
    <cellStyle name="Normal 112 2 2 2 3 3" xfId="11689"/>
    <cellStyle name="Normal 112 2 2 2 4" xfId="5472"/>
    <cellStyle name="Normal 112 2 2 2 4 2" xfId="14513"/>
    <cellStyle name="Normal 112 2 2 2 5" xfId="10000"/>
    <cellStyle name="Normal 112 2 2 3" xfId="1513"/>
    <cellStyle name="Normal 112 2 2 3 2" xfId="2646"/>
    <cellStyle name="Normal 112 2 2 3 2 2" xfId="7163"/>
    <cellStyle name="Normal 112 2 2 3 2 2 2" xfId="16204"/>
    <cellStyle name="Normal 112 2 2 3 2 3" xfId="11691"/>
    <cellStyle name="Normal 112 2 2 3 3" xfId="6036"/>
    <cellStyle name="Normal 112 2 2 3 3 2" xfId="15077"/>
    <cellStyle name="Normal 112 2 2 3 4" xfId="10564"/>
    <cellStyle name="Normal 112 2 2 4" xfId="2643"/>
    <cellStyle name="Normal 112 2 2 4 2" xfId="7160"/>
    <cellStyle name="Normal 112 2 2 4 2 2" xfId="16201"/>
    <cellStyle name="Normal 112 2 2 4 3" xfId="11688"/>
    <cellStyle name="Normal 112 2 2 5" xfId="4908"/>
    <cellStyle name="Normal 112 2 2 5 2" xfId="13949"/>
    <cellStyle name="Normal 112 2 2 6" xfId="9436"/>
    <cellStyle name="Normal 112 2 3" xfId="531"/>
    <cellStyle name="Normal 112 2 3 2" xfId="1095"/>
    <cellStyle name="Normal 112 2 3 2 2" xfId="2265"/>
    <cellStyle name="Normal 112 2 3 2 2 2" xfId="2649"/>
    <cellStyle name="Normal 112 2 3 2 2 2 2" xfId="7166"/>
    <cellStyle name="Normal 112 2 3 2 2 2 2 2" xfId="16207"/>
    <cellStyle name="Normal 112 2 3 2 2 2 3" xfId="11694"/>
    <cellStyle name="Normal 112 2 3 2 2 3" xfId="6788"/>
    <cellStyle name="Normal 112 2 3 2 2 3 2" xfId="15829"/>
    <cellStyle name="Normal 112 2 3 2 2 4" xfId="11316"/>
    <cellStyle name="Normal 112 2 3 2 3" xfId="2648"/>
    <cellStyle name="Normal 112 2 3 2 3 2" xfId="7165"/>
    <cellStyle name="Normal 112 2 3 2 3 2 2" xfId="16206"/>
    <cellStyle name="Normal 112 2 3 2 3 3" xfId="11693"/>
    <cellStyle name="Normal 112 2 3 2 4" xfId="5660"/>
    <cellStyle name="Normal 112 2 3 2 4 2" xfId="14701"/>
    <cellStyle name="Normal 112 2 3 2 5" xfId="10188"/>
    <cellStyle name="Normal 112 2 3 3" xfId="1701"/>
    <cellStyle name="Normal 112 2 3 3 2" xfId="2650"/>
    <cellStyle name="Normal 112 2 3 3 2 2" xfId="7167"/>
    <cellStyle name="Normal 112 2 3 3 2 2 2" xfId="16208"/>
    <cellStyle name="Normal 112 2 3 3 2 3" xfId="11695"/>
    <cellStyle name="Normal 112 2 3 3 3" xfId="6224"/>
    <cellStyle name="Normal 112 2 3 3 3 2" xfId="15265"/>
    <cellStyle name="Normal 112 2 3 3 4" xfId="10752"/>
    <cellStyle name="Normal 112 2 3 4" xfId="2647"/>
    <cellStyle name="Normal 112 2 3 4 2" xfId="7164"/>
    <cellStyle name="Normal 112 2 3 4 2 2" xfId="16205"/>
    <cellStyle name="Normal 112 2 3 4 3" xfId="11692"/>
    <cellStyle name="Normal 112 2 3 5" xfId="5096"/>
    <cellStyle name="Normal 112 2 3 5 2" xfId="14137"/>
    <cellStyle name="Normal 112 2 3 6" xfId="9624"/>
    <cellStyle name="Normal 112 2 4" xfId="719"/>
    <cellStyle name="Normal 112 2 4 2" xfId="1889"/>
    <cellStyle name="Normal 112 2 4 2 2" xfId="2652"/>
    <cellStyle name="Normal 112 2 4 2 2 2" xfId="7169"/>
    <cellStyle name="Normal 112 2 4 2 2 2 2" xfId="16210"/>
    <cellStyle name="Normal 112 2 4 2 2 3" xfId="11697"/>
    <cellStyle name="Normal 112 2 4 2 3" xfId="6412"/>
    <cellStyle name="Normal 112 2 4 2 3 2" xfId="15453"/>
    <cellStyle name="Normal 112 2 4 2 4" xfId="10940"/>
    <cellStyle name="Normal 112 2 4 3" xfId="2651"/>
    <cellStyle name="Normal 112 2 4 3 2" xfId="7168"/>
    <cellStyle name="Normal 112 2 4 3 2 2" xfId="16209"/>
    <cellStyle name="Normal 112 2 4 3 3" xfId="11696"/>
    <cellStyle name="Normal 112 2 4 4" xfId="5284"/>
    <cellStyle name="Normal 112 2 4 4 2" xfId="14325"/>
    <cellStyle name="Normal 112 2 4 5" xfId="9812"/>
    <cellStyle name="Normal 112 2 5" xfId="1325"/>
    <cellStyle name="Normal 112 2 5 2" xfId="2653"/>
    <cellStyle name="Normal 112 2 5 2 2" xfId="7170"/>
    <cellStyle name="Normal 112 2 5 2 2 2" xfId="16211"/>
    <cellStyle name="Normal 112 2 5 2 3" xfId="11698"/>
    <cellStyle name="Normal 112 2 5 3" xfId="5848"/>
    <cellStyle name="Normal 112 2 5 3 2" xfId="14889"/>
    <cellStyle name="Normal 112 2 5 4" xfId="10376"/>
    <cellStyle name="Normal 112 2 6" xfId="2642"/>
    <cellStyle name="Normal 112 2 6 2" xfId="7159"/>
    <cellStyle name="Normal 112 2 6 2 2" xfId="16200"/>
    <cellStyle name="Normal 112 2 6 3" xfId="11687"/>
    <cellStyle name="Normal 112 2 7" xfId="4720"/>
    <cellStyle name="Normal 112 2 7 2" xfId="13761"/>
    <cellStyle name="Normal 112 2 8" xfId="9248"/>
    <cellStyle name="Normal 112 3" xfId="249"/>
    <cellStyle name="Normal 112 3 2" xfId="813"/>
    <cellStyle name="Normal 112 3 2 2" xfId="1983"/>
    <cellStyle name="Normal 112 3 2 2 2" xfId="2656"/>
    <cellStyle name="Normal 112 3 2 2 2 2" xfId="7173"/>
    <cellStyle name="Normal 112 3 2 2 2 2 2" xfId="16214"/>
    <cellStyle name="Normal 112 3 2 2 2 3" xfId="11701"/>
    <cellStyle name="Normal 112 3 2 2 3" xfId="6506"/>
    <cellStyle name="Normal 112 3 2 2 3 2" xfId="15547"/>
    <cellStyle name="Normal 112 3 2 2 4" xfId="11034"/>
    <cellStyle name="Normal 112 3 2 3" xfId="2655"/>
    <cellStyle name="Normal 112 3 2 3 2" xfId="7172"/>
    <cellStyle name="Normal 112 3 2 3 2 2" xfId="16213"/>
    <cellStyle name="Normal 112 3 2 3 3" xfId="11700"/>
    <cellStyle name="Normal 112 3 2 4" xfId="5378"/>
    <cellStyle name="Normal 112 3 2 4 2" xfId="14419"/>
    <cellStyle name="Normal 112 3 2 5" xfId="9906"/>
    <cellStyle name="Normal 112 3 3" xfId="1419"/>
    <cellStyle name="Normal 112 3 3 2" xfId="2657"/>
    <cellStyle name="Normal 112 3 3 2 2" xfId="7174"/>
    <cellStyle name="Normal 112 3 3 2 2 2" xfId="16215"/>
    <cellStyle name="Normal 112 3 3 2 3" xfId="11702"/>
    <cellStyle name="Normal 112 3 3 3" xfId="5942"/>
    <cellStyle name="Normal 112 3 3 3 2" xfId="14983"/>
    <cellStyle name="Normal 112 3 3 4" xfId="10470"/>
    <cellStyle name="Normal 112 3 4" xfId="2654"/>
    <cellStyle name="Normal 112 3 4 2" xfId="7171"/>
    <cellStyle name="Normal 112 3 4 2 2" xfId="16212"/>
    <cellStyle name="Normal 112 3 4 3" xfId="11699"/>
    <cellStyle name="Normal 112 3 5" xfId="4814"/>
    <cellStyle name="Normal 112 3 5 2" xfId="13855"/>
    <cellStyle name="Normal 112 3 6" xfId="9342"/>
    <cellStyle name="Normal 112 4" xfId="437"/>
    <cellStyle name="Normal 112 4 2" xfId="1001"/>
    <cellStyle name="Normal 112 4 2 2" xfId="2171"/>
    <cellStyle name="Normal 112 4 2 2 2" xfId="2660"/>
    <cellStyle name="Normal 112 4 2 2 2 2" xfId="7177"/>
    <cellStyle name="Normal 112 4 2 2 2 2 2" xfId="16218"/>
    <cellStyle name="Normal 112 4 2 2 2 3" xfId="11705"/>
    <cellStyle name="Normal 112 4 2 2 3" xfId="6694"/>
    <cellStyle name="Normal 112 4 2 2 3 2" xfId="15735"/>
    <cellStyle name="Normal 112 4 2 2 4" xfId="11222"/>
    <cellStyle name="Normal 112 4 2 3" xfId="2659"/>
    <cellStyle name="Normal 112 4 2 3 2" xfId="7176"/>
    <cellStyle name="Normal 112 4 2 3 2 2" xfId="16217"/>
    <cellStyle name="Normal 112 4 2 3 3" xfId="11704"/>
    <cellStyle name="Normal 112 4 2 4" xfId="5566"/>
    <cellStyle name="Normal 112 4 2 4 2" xfId="14607"/>
    <cellStyle name="Normal 112 4 2 5" xfId="10094"/>
    <cellStyle name="Normal 112 4 3" xfId="1607"/>
    <cellStyle name="Normal 112 4 3 2" xfId="2661"/>
    <cellStyle name="Normal 112 4 3 2 2" xfId="7178"/>
    <cellStyle name="Normal 112 4 3 2 2 2" xfId="16219"/>
    <cellStyle name="Normal 112 4 3 2 3" xfId="11706"/>
    <cellStyle name="Normal 112 4 3 3" xfId="6130"/>
    <cellStyle name="Normal 112 4 3 3 2" xfId="15171"/>
    <cellStyle name="Normal 112 4 3 4" xfId="10658"/>
    <cellStyle name="Normal 112 4 4" xfId="2658"/>
    <cellStyle name="Normal 112 4 4 2" xfId="7175"/>
    <cellStyle name="Normal 112 4 4 2 2" xfId="16216"/>
    <cellStyle name="Normal 112 4 4 3" xfId="11703"/>
    <cellStyle name="Normal 112 4 5" xfId="5002"/>
    <cellStyle name="Normal 112 4 5 2" xfId="14043"/>
    <cellStyle name="Normal 112 4 6" xfId="9530"/>
    <cellStyle name="Normal 112 5" xfId="625"/>
    <cellStyle name="Normal 112 5 2" xfId="1795"/>
    <cellStyle name="Normal 112 5 2 2" xfId="2663"/>
    <cellStyle name="Normal 112 5 2 2 2" xfId="7180"/>
    <cellStyle name="Normal 112 5 2 2 2 2" xfId="16221"/>
    <cellStyle name="Normal 112 5 2 2 3" xfId="11708"/>
    <cellStyle name="Normal 112 5 2 3" xfId="6318"/>
    <cellStyle name="Normal 112 5 2 3 2" xfId="15359"/>
    <cellStyle name="Normal 112 5 2 4" xfId="10846"/>
    <cellStyle name="Normal 112 5 3" xfId="2662"/>
    <cellStyle name="Normal 112 5 3 2" xfId="7179"/>
    <cellStyle name="Normal 112 5 3 2 2" xfId="16220"/>
    <cellStyle name="Normal 112 5 3 3" xfId="11707"/>
    <cellStyle name="Normal 112 5 4" xfId="5190"/>
    <cellStyle name="Normal 112 5 4 2" xfId="14231"/>
    <cellStyle name="Normal 112 5 5" xfId="9718"/>
    <cellStyle name="Normal 112 6" xfId="1231"/>
    <cellStyle name="Normal 112 6 2" xfId="2664"/>
    <cellStyle name="Normal 112 6 2 2" xfId="7181"/>
    <cellStyle name="Normal 112 6 2 2 2" xfId="16222"/>
    <cellStyle name="Normal 112 6 2 3" xfId="11709"/>
    <cellStyle name="Normal 112 6 3" xfId="5754"/>
    <cellStyle name="Normal 112 6 3 2" xfId="14795"/>
    <cellStyle name="Normal 112 6 4" xfId="10282"/>
    <cellStyle name="Normal 112 7" xfId="2641"/>
    <cellStyle name="Normal 112 7 2" xfId="7158"/>
    <cellStyle name="Normal 112 7 2 2" xfId="16199"/>
    <cellStyle name="Normal 112 7 3" xfId="11686"/>
    <cellStyle name="Normal 112 8" xfId="4626"/>
    <cellStyle name="Normal 112 8 2" xfId="13667"/>
    <cellStyle name="Normal 112 9" xfId="9154"/>
    <cellStyle name="Normal 113" xfId="19"/>
    <cellStyle name="Normal 113 2" xfId="115"/>
    <cellStyle name="Normal 113 2 2" xfId="344"/>
    <cellStyle name="Normal 113 2 2 2" xfId="908"/>
    <cellStyle name="Normal 113 2 2 2 2" xfId="2078"/>
    <cellStyle name="Normal 113 2 2 2 2 2" xfId="2669"/>
    <cellStyle name="Normal 113 2 2 2 2 2 2" xfId="7186"/>
    <cellStyle name="Normal 113 2 2 2 2 2 2 2" xfId="16227"/>
    <cellStyle name="Normal 113 2 2 2 2 2 3" xfId="11714"/>
    <cellStyle name="Normal 113 2 2 2 2 3" xfId="6601"/>
    <cellStyle name="Normal 113 2 2 2 2 3 2" xfId="15642"/>
    <cellStyle name="Normal 113 2 2 2 2 4" xfId="11129"/>
    <cellStyle name="Normal 113 2 2 2 3" xfId="2668"/>
    <cellStyle name="Normal 113 2 2 2 3 2" xfId="7185"/>
    <cellStyle name="Normal 113 2 2 2 3 2 2" xfId="16226"/>
    <cellStyle name="Normal 113 2 2 2 3 3" xfId="11713"/>
    <cellStyle name="Normal 113 2 2 2 4" xfId="5473"/>
    <cellStyle name="Normal 113 2 2 2 4 2" xfId="14514"/>
    <cellStyle name="Normal 113 2 2 2 5" xfId="10001"/>
    <cellStyle name="Normal 113 2 2 3" xfId="1514"/>
    <cellStyle name="Normal 113 2 2 3 2" xfId="2670"/>
    <cellStyle name="Normal 113 2 2 3 2 2" xfId="7187"/>
    <cellStyle name="Normal 113 2 2 3 2 2 2" xfId="16228"/>
    <cellStyle name="Normal 113 2 2 3 2 3" xfId="11715"/>
    <cellStyle name="Normal 113 2 2 3 3" xfId="6037"/>
    <cellStyle name="Normal 113 2 2 3 3 2" xfId="15078"/>
    <cellStyle name="Normal 113 2 2 3 4" xfId="10565"/>
    <cellStyle name="Normal 113 2 2 4" xfId="2667"/>
    <cellStyle name="Normal 113 2 2 4 2" xfId="7184"/>
    <cellStyle name="Normal 113 2 2 4 2 2" xfId="16225"/>
    <cellStyle name="Normal 113 2 2 4 3" xfId="11712"/>
    <cellStyle name="Normal 113 2 2 5" xfId="4909"/>
    <cellStyle name="Normal 113 2 2 5 2" xfId="13950"/>
    <cellStyle name="Normal 113 2 2 6" xfId="9437"/>
    <cellStyle name="Normal 113 2 3" xfId="532"/>
    <cellStyle name="Normal 113 2 3 2" xfId="1096"/>
    <cellStyle name="Normal 113 2 3 2 2" xfId="2266"/>
    <cellStyle name="Normal 113 2 3 2 2 2" xfId="2673"/>
    <cellStyle name="Normal 113 2 3 2 2 2 2" xfId="7190"/>
    <cellStyle name="Normal 113 2 3 2 2 2 2 2" xfId="16231"/>
    <cellStyle name="Normal 113 2 3 2 2 2 3" xfId="11718"/>
    <cellStyle name="Normal 113 2 3 2 2 3" xfId="6789"/>
    <cellStyle name="Normal 113 2 3 2 2 3 2" xfId="15830"/>
    <cellStyle name="Normal 113 2 3 2 2 4" xfId="11317"/>
    <cellStyle name="Normal 113 2 3 2 3" xfId="2672"/>
    <cellStyle name="Normal 113 2 3 2 3 2" xfId="7189"/>
    <cellStyle name="Normal 113 2 3 2 3 2 2" xfId="16230"/>
    <cellStyle name="Normal 113 2 3 2 3 3" xfId="11717"/>
    <cellStyle name="Normal 113 2 3 2 4" xfId="5661"/>
    <cellStyle name="Normal 113 2 3 2 4 2" xfId="14702"/>
    <cellStyle name="Normal 113 2 3 2 5" xfId="10189"/>
    <cellStyle name="Normal 113 2 3 3" xfId="1702"/>
    <cellStyle name="Normal 113 2 3 3 2" xfId="2674"/>
    <cellStyle name="Normal 113 2 3 3 2 2" xfId="7191"/>
    <cellStyle name="Normal 113 2 3 3 2 2 2" xfId="16232"/>
    <cellStyle name="Normal 113 2 3 3 2 3" xfId="11719"/>
    <cellStyle name="Normal 113 2 3 3 3" xfId="6225"/>
    <cellStyle name="Normal 113 2 3 3 3 2" xfId="15266"/>
    <cellStyle name="Normal 113 2 3 3 4" xfId="10753"/>
    <cellStyle name="Normal 113 2 3 4" xfId="2671"/>
    <cellStyle name="Normal 113 2 3 4 2" xfId="7188"/>
    <cellStyle name="Normal 113 2 3 4 2 2" xfId="16229"/>
    <cellStyle name="Normal 113 2 3 4 3" xfId="11716"/>
    <cellStyle name="Normal 113 2 3 5" xfId="5097"/>
    <cellStyle name="Normal 113 2 3 5 2" xfId="14138"/>
    <cellStyle name="Normal 113 2 3 6" xfId="9625"/>
    <cellStyle name="Normal 113 2 4" xfId="720"/>
    <cellStyle name="Normal 113 2 4 2" xfId="1890"/>
    <cellStyle name="Normal 113 2 4 2 2" xfId="2676"/>
    <cellStyle name="Normal 113 2 4 2 2 2" xfId="7193"/>
    <cellStyle name="Normal 113 2 4 2 2 2 2" xfId="16234"/>
    <cellStyle name="Normal 113 2 4 2 2 3" xfId="11721"/>
    <cellStyle name="Normal 113 2 4 2 3" xfId="6413"/>
    <cellStyle name="Normal 113 2 4 2 3 2" xfId="15454"/>
    <cellStyle name="Normal 113 2 4 2 4" xfId="10941"/>
    <cellStyle name="Normal 113 2 4 3" xfId="2675"/>
    <cellStyle name="Normal 113 2 4 3 2" xfId="7192"/>
    <cellStyle name="Normal 113 2 4 3 2 2" xfId="16233"/>
    <cellStyle name="Normal 113 2 4 3 3" xfId="11720"/>
    <cellStyle name="Normal 113 2 4 4" xfId="5285"/>
    <cellStyle name="Normal 113 2 4 4 2" xfId="14326"/>
    <cellStyle name="Normal 113 2 4 5" xfId="9813"/>
    <cellStyle name="Normal 113 2 5" xfId="1326"/>
    <cellStyle name="Normal 113 2 5 2" xfId="2677"/>
    <cellStyle name="Normal 113 2 5 2 2" xfId="7194"/>
    <cellStyle name="Normal 113 2 5 2 2 2" xfId="16235"/>
    <cellStyle name="Normal 113 2 5 2 3" xfId="11722"/>
    <cellStyle name="Normal 113 2 5 3" xfId="5849"/>
    <cellStyle name="Normal 113 2 5 3 2" xfId="14890"/>
    <cellStyle name="Normal 113 2 5 4" xfId="10377"/>
    <cellStyle name="Normal 113 2 6" xfId="2666"/>
    <cellStyle name="Normal 113 2 6 2" xfId="7183"/>
    <cellStyle name="Normal 113 2 6 2 2" xfId="16224"/>
    <cellStyle name="Normal 113 2 6 3" xfId="11711"/>
    <cellStyle name="Normal 113 2 7" xfId="4721"/>
    <cellStyle name="Normal 113 2 7 2" xfId="13762"/>
    <cellStyle name="Normal 113 2 8" xfId="9249"/>
    <cellStyle name="Normal 113 3" xfId="250"/>
    <cellStyle name="Normal 113 3 2" xfId="814"/>
    <cellStyle name="Normal 113 3 2 2" xfId="1984"/>
    <cellStyle name="Normal 113 3 2 2 2" xfId="2680"/>
    <cellStyle name="Normal 113 3 2 2 2 2" xfId="7197"/>
    <cellStyle name="Normal 113 3 2 2 2 2 2" xfId="16238"/>
    <cellStyle name="Normal 113 3 2 2 2 3" xfId="11725"/>
    <cellStyle name="Normal 113 3 2 2 3" xfId="6507"/>
    <cellStyle name="Normal 113 3 2 2 3 2" xfId="15548"/>
    <cellStyle name="Normal 113 3 2 2 4" xfId="11035"/>
    <cellStyle name="Normal 113 3 2 3" xfId="2679"/>
    <cellStyle name="Normal 113 3 2 3 2" xfId="7196"/>
    <cellStyle name="Normal 113 3 2 3 2 2" xfId="16237"/>
    <cellStyle name="Normal 113 3 2 3 3" xfId="11724"/>
    <cellStyle name="Normal 113 3 2 4" xfId="5379"/>
    <cellStyle name="Normal 113 3 2 4 2" xfId="14420"/>
    <cellStyle name="Normal 113 3 2 5" xfId="9907"/>
    <cellStyle name="Normal 113 3 3" xfId="1420"/>
    <cellStyle name="Normal 113 3 3 2" xfId="2681"/>
    <cellStyle name="Normal 113 3 3 2 2" xfId="7198"/>
    <cellStyle name="Normal 113 3 3 2 2 2" xfId="16239"/>
    <cellStyle name="Normal 113 3 3 2 3" xfId="11726"/>
    <cellStyle name="Normal 113 3 3 3" xfId="5943"/>
    <cellStyle name="Normal 113 3 3 3 2" xfId="14984"/>
    <cellStyle name="Normal 113 3 3 4" xfId="10471"/>
    <cellStyle name="Normal 113 3 4" xfId="2678"/>
    <cellStyle name="Normal 113 3 4 2" xfId="7195"/>
    <cellStyle name="Normal 113 3 4 2 2" xfId="16236"/>
    <cellStyle name="Normal 113 3 4 3" xfId="11723"/>
    <cellStyle name="Normal 113 3 5" xfId="4815"/>
    <cellStyle name="Normal 113 3 5 2" xfId="13856"/>
    <cellStyle name="Normal 113 3 6" xfId="9343"/>
    <cellStyle name="Normal 113 4" xfId="438"/>
    <cellStyle name="Normal 113 4 2" xfId="1002"/>
    <cellStyle name="Normal 113 4 2 2" xfId="2172"/>
    <cellStyle name="Normal 113 4 2 2 2" xfId="2684"/>
    <cellStyle name="Normal 113 4 2 2 2 2" xfId="7201"/>
    <cellStyle name="Normal 113 4 2 2 2 2 2" xfId="16242"/>
    <cellStyle name="Normal 113 4 2 2 2 3" xfId="11729"/>
    <cellStyle name="Normal 113 4 2 2 3" xfId="6695"/>
    <cellStyle name="Normal 113 4 2 2 3 2" xfId="15736"/>
    <cellStyle name="Normal 113 4 2 2 4" xfId="11223"/>
    <cellStyle name="Normal 113 4 2 3" xfId="2683"/>
    <cellStyle name="Normal 113 4 2 3 2" xfId="7200"/>
    <cellStyle name="Normal 113 4 2 3 2 2" xfId="16241"/>
    <cellStyle name="Normal 113 4 2 3 3" xfId="11728"/>
    <cellStyle name="Normal 113 4 2 4" xfId="5567"/>
    <cellStyle name="Normal 113 4 2 4 2" xfId="14608"/>
    <cellStyle name="Normal 113 4 2 5" xfId="10095"/>
    <cellStyle name="Normal 113 4 3" xfId="1608"/>
    <cellStyle name="Normal 113 4 3 2" xfId="2685"/>
    <cellStyle name="Normal 113 4 3 2 2" xfId="7202"/>
    <cellStyle name="Normal 113 4 3 2 2 2" xfId="16243"/>
    <cellStyle name="Normal 113 4 3 2 3" xfId="11730"/>
    <cellStyle name="Normal 113 4 3 3" xfId="6131"/>
    <cellStyle name="Normal 113 4 3 3 2" xfId="15172"/>
    <cellStyle name="Normal 113 4 3 4" xfId="10659"/>
    <cellStyle name="Normal 113 4 4" xfId="2682"/>
    <cellStyle name="Normal 113 4 4 2" xfId="7199"/>
    <cellStyle name="Normal 113 4 4 2 2" xfId="16240"/>
    <cellStyle name="Normal 113 4 4 3" xfId="11727"/>
    <cellStyle name="Normal 113 4 5" xfId="5003"/>
    <cellStyle name="Normal 113 4 5 2" xfId="14044"/>
    <cellStyle name="Normal 113 4 6" xfId="9531"/>
    <cellStyle name="Normal 113 5" xfId="626"/>
    <cellStyle name="Normal 113 5 2" xfId="1796"/>
    <cellStyle name="Normal 113 5 2 2" xfId="2687"/>
    <cellStyle name="Normal 113 5 2 2 2" xfId="7204"/>
    <cellStyle name="Normal 113 5 2 2 2 2" xfId="16245"/>
    <cellStyle name="Normal 113 5 2 2 3" xfId="11732"/>
    <cellStyle name="Normal 113 5 2 3" xfId="6319"/>
    <cellStyle name="Normal 113 5 2 3 2" xfId="15360"/>
    <cellStyle name="Normal 113 5 2 4" xfId="10847"/>
    <cellStyle name="Normal 113 5 3" xfId="2686"/>
    <cellStyle name="Normal 113 5 3 2" xfId="7203"/>
    <cellStyle name="Normal 113 5 3 2 2" xfId="16244"/>
    <cellStyle name="Normal 113 5 3 3" xfId="11731"/>
    <cellStyle name="Normal 113 5 4" xfId="5191"/>
    <cellStyle name="Normal 113 5 4 2" xfId="14232"/>
    <cellStyle name="Normal 113 5 5" xfId="9719"/>
    <cellStyle name="Normal 113 6" xfId="1232"/>
    <cellStyle name="Normal 113 6 2" xfId="2688"/>
    <cellStyle name="Normal 113 6 2 2" xfId="7205"/>
    <cellStyle name="Normal 113 6 2 2 2" xfId="16246"/>
    <cellStyle name="Normal 113 6 2 3" xfId="11733"/>
    <cellStyle name="Normal 113 6 3" xfId="5755"/>
    <cellStyle name="Normal 113 6 3 2" xfId="14796"/>
    <cellStyle name="Normal 113 6 4" xfId="10283"/>
    <cellStyle name="Normal 113 7" xfId="2665"/>
    <cellStyle name="Normal 113 7 2" xfId="7182"/>
    <cellStyle name="Normal 113 7 2 2" xfId="16223"/>
    <cellStyle name="Normal 113 7 3" xfId="11710"/>
    <cellStyle name="Normal 113 8" xfId="4627"/>
    <cellStyle name="Normal 113 8 2" xfId="13668"/>
    <cellStyle name="Normal 113 9" xfId="9155"/>
    <cellStyle name="Normal 114" xfId="20"/>
    <cellStyle name="Normal 114 2" xfId="116"/>
    <cellStyle name="Normal 114 2 2" xfId="345"/>
    <cellStyle name="Normal 114 2 2 2" xfId="909"/>
    <cellStyle name="Normal 114 2 2 2 2" xfId="2079"/>
    <cellStyle name="Normal 114 2 2 2 2 2" xfId="2693"/>
    <cellStyle name="Normal 114 2 2 2 2 2 2" xfId="7210"/>
    <cellStyle name="Normal 114 2 2 2 2 2 2 2" xfId="16251"/>
    <cellStyle name="Normal 114 2 2 2 2 2 3" xfId="11738"/>
    <cellStyle name="Normal 114 2 2 2 2 3" xfId="6602"/>
    <cellStyle name="Normal 114 2 2 2 2 3 2" xfId="15643"/>
    <cellStyle name="Normal 114 2 2 2 2 4" xfId="11130"/>
    <cellStyle name="Normal 114 2 2 2 3" xfId="2692"/>
    <cellStyle name="Normal 114 2 2 2 3 2" xfId="7209"/>
    <cellStyle name="Normal 114 2 2 2 3 2 2" xfId="16250"/>
    <cellStyle name="Normal 114 2 2 2 3 3" xfId="11737"/>
    <cellStyle name="Normal 114 2 2 2 4" xfId="5474"/>
    <cellStyle name="Normal 114 2 2 2 4 2" xfId="14515"/>
    <cellStyle name="Normal 114 2 2 2 5" xfId="10002"/>
    <cellStyle name="Normal 114 2 2 3" xfId="1515"/>
    <cellStyle name="Normal 114 2 2 3 2" xfId="2694"/>
    <cellStyle name="Normal 114 2 2 3 2 2" xfId="7211"/>
    <cellStyle name="Normal 114 2 2 3 2 2 2" xfId="16252"/>
    <cellStyle name="Normal 114 2 2 3 2 3" xfId="11739"/>
    <cellStyle name="Normal 114 2 2 3 3" xfId="6038"/>
    <cellStyle name="Normal 114 2 2 3 3 2" xfId="15079"/>
    <cellStyle name="Normal 114 2 2 3 4" xfId="10566"/>
    <cellStyle name="Normal 114 2 2 4" xfId="2691"/>
    <cellStyle name="Normal 114 2 2 4 2" xfId="7208"/>
    <cellStyle name="Normal 114 2 2 4 2 2" xfId="16249"/>
    <cellStyle name="Normal 114 2 2 4 3" xfId="11736"/>
    <cellStyle name="Normal 114 2 2 5" xfId="4910"/>
    <cellStyle name="Normal 114 2 2 5 2" xfId="13951"/>
    <cellStyle name="Normal 114 2 2 6" xfId="9438"/>
    <cellStyle name="Normal 114 2 3" xfId="533"/>
    <cellStyle name="Normal 114 2 3 2" xfId="1097"/>
    <cellStyle name="Normal 114 2 3 2 2" xfId="2267"/>
    <cellStyle name="Normal 114 2 3 2 2 2" xfId="2697"/>
    <cellStyle name="Normal 114 2 3 2 2 2 2" xfId="7214"/>
    <cellStyle name="Normal 114 2 3 2 2 2 2 2" xfId="16255"/>
    <cellStyle name="Normal 114 2 3 2 2 2 3" xfId="11742"/>
    <cellStyle name="Normal 114 2 3 2 2 3" xfId="6790"/>
    <cellStyle name="Normal 114 2 3 2 2 3 2" xfId="15831"/>
    <cellStyle name="Normal 114 2 3 2 2 4" xfId="11318"/>
    <cellStyle name="Normal 114 2 3 2 3" xfId="2696"/>
    <cellStyle name="Normal 114 2 3 2 3 2" xfId="7213"/>
    <cellStyle name="Normal 114 2 3 2 3 2 2" xfId="16254"/>
    <cellStyle name="Normal 114 2 3 2 3 3" xfId="11741"/>
    <cellStyle name="Normal 114 2 3 2 4" xfId="5662"/>
    <cellStyle name="Normal 114 2 3 2 4 2" xfId="14703"/>
    <cellStyle name="Normal 114 2 3 2 5" xfId="10190"/>
    <cellStyle name="Normal 114 2 3 3" xfId="1703"/>
    <cellStyle name="Normal 114 2 3 3 2" xfId="2698"/>
    <cellStyle name="Normal 114 2 3 3 2 2" xfId="7215"/>
    <cellStyle name="Normal 114 2 3 3 2 2 2" xfId="16256"/>
    <cellStyle name="Normal 114 2 3 3 2 3" xfId="11743"/>
    <cellStyle name="Normal 114 2 3 3 3" xfId="6226"/>
    <cellStyle name="Normal 114 2 3 3 3 2" xfId="15267"/>
    <cellStyle name="Normal 114 2 3 3 4" xfId="10754"/>
    <cellStyle name="Normal 114 2 3 4" xfId="2695"/>
    <cellStyle name="Normal 114 2 3 4 2" xfId="7212"/>
    <cellStyle name="Normal 114 2 3 4 2 2" xfId="16253"/>
    <cellStyle name="Normal 114 2 3 4 3" xfId="11740"/>
    <cellStyle name="Normal 114 2 3 5" xfId="5098"/>
    <cellStyle name="Normal 114 2 3 5 2" xfId="14139"/>
    <cellStyle name="Normal 114 2 3 6" xfId="9626"/>
    <cellStyle name="Normal 114 2 4" xfId="721"/>
    <cellStyle name="Normal 114 2 4 2" xfId="1891"/>
    <cellStyle name="Normal 114 2 4 2 2" xfId="2700"/>
    <cellStyle name="Normal 114 2 4 2 2 2" xfId="7217"/>
    <cellStyle name="Normal 114 2 4 2 2 2 2" xfId="16258"/>
    <cellStyle name="Normal 114 2 4 2 2 3" xfId="11745"/>
    <cellStyle name="Normal 114 2 4 2 3" xfId="6414"/>
    <cellStyle name="Normal 114 2 4 2 3 2" xfId="15455"/>
    <cellStyle name="Normal 114 2 4 2 4" xfId="10942"/>
    <cellStyle name="Normal 114 2 4 3" xfId="2699"/>
    <cellStyle name="Normal 114 2 4 3 2" xfId="7216"/>
    <cellStyle name="Normal 114 2 4 3 2 2" xfId="16257"/>
    <cellStyle name="Normal 114 2 4 3 3" xfId="11744"/>
    <cellStyle name="Normal 114 2 4 4" xfId="5286"/>
    <cellStyle name="Normal 114 2 4 4 2" xfId="14327"/>
    <cellStyle name="Normal 114 2 4 5" xfId="9814"/>
    <cellStyle name="Normal 114 2 5" xfId="1327"/>
    <cellStyle name="Normal 114 2 5 2" xfId="2701"/>
    <cellStyle name="Normal 114 2 5 2 2" xfId="7218"/>
    <cellStyle name="Normal 114 2 5 2 2 2" xfId="16259"/>
    <cellStyle name="Normal 114 2 5 2 3" xfId="11746"/>
    <cellStyle name="Normal 114 2 5 3" xfId="5850"/>
    <cellStyle name="Normal 114 2 5 3 2" xfId="14891"/>
    <cellStyle name="Normal 114 2 5 4" xfId="10378"/>
    <cellStyle name="Normal 114 2 6" xfId="2690"/>
    <cellStyle name="Normal 114 2 6 2" xfId="7207"/>
    <cellStyle name="Normal 114 2 6 2 2" xfId="16248"/>
    <cellStyle name="Normal 114 2 6 3" xfId="11735"/>
    <cellStyle name="Normal 114 2 7" xfId="4722"/>
    <cellStyle name="Normal 114 2 7 2" xfId="13763"/>
    <cellStyle name="Normal 114 2 8" xfId="9250"/>
    <cellStyle name="Normal 114 3" xfId="251"/>
    <cellStyle name="Normal 114 3 2" xfId="815"/>
    <cellStyle name="Normal 114 3 2 2" xfId="1985"/>
    <cellStyle name="Normal 114 3 2 2 2" xfId="2704"/>
    <cellStyle name="Normal 114 3 2 2 2 2" xfId="7221"/>
    <cellStyle name="Normal 114 3 2 2 2 2 2" xfId="16262"/>
    <cellStyle name="Normal 114 3 2 2 2 3" xfId="11749"/>
    <cellStyle name="Normal 114 3 2 2 3" xfId="6508"/>
    <cellStyle name="Normal 114 3 2 2 3 2" xfId="15549"/>
    <cellStyle name="Normal 114 3 2 2 4" xfId="11036"/>
    <cellStyle name="Normal 114 3 2 3" xfId="2703"/>
    <cellStyle name="Normal 114 3 2 3 2" xfId="7220"/>
    <cellStyle name="Normal 114 3 2 3 2 2" xfId="16261"/>
    <cellStyle name="Normal 114 3 2 3 3" xfId="11748"/>
    <cellStyle name="Normal 114 3 2 4" xfId="5380"/>
    <cellStyle name="Normal 114 3 2 4 2" xfId="14421"/>
    <cellStyle name="Normal 114 3 2 5" xfId="9908"/>
    <cellStyle name="Normal 114 3 3" xfId="1421"/>
    <cellStyle name="Normal 114 3 3 2" xfId="2705"/>
    <cellStyle name="Normal 114 3 3 2 2" xfId="7222"/>
    <cellStyle name="Normal 114 3 3 2 2 2" xfId="16263"/>
    <cellStyle name="Normal 114 3 3 2 3" xfId="11750"/>
    <cellStyle name="Normal 114 3 3 3" xfId="5944"/>
    <cellStyle name="Normal 114 3 3 3 2" xfId="14985"/>
    <cellStyle name="Normal 114 3 3 4" xfId="10472"/>
    <cellStyle name="Normal 114 3 4" xfId="2702"/>
    <cellStyle name="Normal 114 3 4 2" xfId="7219"/>
    <cellStyle name="Normal 114 3 4 2 2" xfId="16260"/>
    <cellStyle name="Normal 114 3 4 3" xfId="11747"/>
    <cellStyle name="Normal 114 3 5" xfId="4816"/>
    <cellStyle name="Normal 114 3 5 2" xfId="13857"/>
    <cellStyle name="Normal 114 3 6" xfId="9344"/>
    <cellStyle name="Normal 114 4" xfId="439"/>
    <cellStyle name="Normal 114 4 2" xfId="1003"/>
    <cellStyle name="Normal 114 4 2 2" xfId="2173"/>
    <cellStyle name="Normal 114 4 2 2 2" xfId="2708"/>
    <cellStyle name="Normal 114 4 2 2 2 2" xfId="7225"/>
    <cellStyle name="Normal 114 4 2 2 2 2 2" xfId="16266"/>
    <cellStyle name="Normal 114 4 2 2 2 3" xfId="11753"/>
    <cellStyle name="Normal 114 4 2 2 3" xfId="6696"/>
    <cellStyle name="Normal 114 4 2 2 3 2" xfId="15737"/>
    <cellStyle name="Normal 114 4 2 2 4" xfId="11224"/>
    <cellStyle name="Normal 114 4 2 3" xfId="2707"/>
    <cellStyle name="Normal 114 4 2 3 2" xfId="7224"/>
    <cellStyle name="Normal 114 4 2 3 2 2" xfId="16265"/>
    <cellStyle name="Normal 114 4 2 3 3" xfId="11752"/>
    <cellStyle name="Normal 114 4 2 4" xfId="5568"/>
    <cellStyle name="Normal 114 4 2 4 2" xfId="14609"/>
    <cellStyle name="Normal 114 4 2 5" xfId="10096"/>
    <cellStyle name="Normal 114 4 3" xfId="1609"/>
    <cellStyle name="Normal 114 4 3 2" xfId="2709"/>
    <cellStyle name="Normal 114 4 3 2 2" xfId="7226"/>
    <cellStyle name="Normal 114 4 3 2 2 2" xfId="16267"/>
    <cellStyle name="Normal 114 4 3 2 3" xfId="11754"/>
    <cellStyle name="Normal 114 4 3 3" xfId="6132"/>
    <cellStyle name="Normal 114 4 3 3 2" xfId="15173"/>
    <cellStyle name="Normal 114 4 3 4" xfId="10660"/>
    <cellStyle name="Normal 114 4 4" xfId="2706"/>
    <cellStyle name="Normal 114 4 4 2" xfId="7223"/>
    <cellStyle name="Normal 114 4 4 2 2" xfId="16264"/>
    <cellStyle name="Normal 114 4 4 3" xfId="11751"/>
    <cellStyle name="Normal 114 4 5" xfId="5004"/>
    <cellStyle name="Normal 114 4 5 2" xfId="14045"/>
    <cellStyle name="Normal 114 4 6" xfId="9532"/>
    <cellStyle name="Normal 114 5" xfId="627"/>
    <cellStyle name="Normal 114 5 2" xfId="1797"/>
    <cellStyle name="Normal 114 5 2 2" xfId="2711"/>
    <cellStyle name="Normal 114 5 2 2 2" xfId="7228"/>
    <cellStyle name="Normal 114 5 2 2 2 2" xfId="16269"/>
    <cellStyle name="Normal 114 5 2 2 3" xfId="11756"/>
    <cellStyle name="Normal 114 5 2 3" xfId="6320"/>
    <cellStyle name="Normal 114 5 2 3 2" xfId="15361"/>
    <cellStyle name="Normal 114 5 2 4" xfId="10848"/>
    <cellStyle name="Normal 114 5 3" xfId="2710"/>
    <cellStyle name="Normal 114 5 3 2" xfId="7227"/>
    <cellStyle name="Normal 114 5 3 2 2" xfId="16268"/>
    <cellStyle name="Normal 114 5 3 3" xfId="11755"/>
    <cellStyle name="Normal 114 5 4" xfId="5192"/>
    <cellStyle name="Normal 114 5 4 2" xfId="14233"/>
    <cellStyle name="Normal 114 5 5" xfId="9720"/>
    <cellStyle name="Normal 114 6" xfId="1233"/>
    <cellStyle name="Normal 114 6 2" xfId="2712"/>
    <cellStyle name="Normal 114 6 2 2" xfId="7229"/>
    <cellStyle name="Normal 114 6 2 2 2" xfId="16270"/>
    <cellStyle name="Normal 114 6 2 3" xfId="11757"/>
    <cellStyle name="Normal 114 6 3" xfId="5756"/>
    <cellStyle name="Normal 114 6 3 2" xfId="14797"/>
    <cellStyle name="Normal 114 6 4" xfId="10284"/>
    <cellStyle name="Normal 114 7" xfId="2689"/>
    <cellStyle name="Normal 114 7 2" xfId="7206"/>
    <cellStyle name="Normal 114 7 2 2" xfId="16247"/>
    <cellStyle name="Normal 114 7 3" xfId="11734"/>
    <cellStyle name="Normal 114 8" xfId="4628"/>
    <cellStyle name="Normal 114 8 2" xfId="13669"/>
    <cellStyle name="Normal 114 9" xfId="9156"/>
    <cellStyle name="Normal 115" xfId="21"/>
    <cellStyle name="Normal 115 2" xfId="117"/>
    <cellStyle name="Normal 115 2 2" xfId="346"/>
    <cellStyle name="Normal 115 2 2 2" xfId="910"/>
    <cellStyle name="Normal 115 2 2 2 2" xfId="2080"/>
    <cellStyle name="Normal 115 2 2 2 2 2" xfId="2717"/>
    <cellStyle name="Normal 115 2 2 2 2 2 2" xfId="7234"/>
    <cellStyle name="Normal 115 2 2 2 2 2 2 2" xfId="16275"/>
    <cellStyle name="Normal 115 2 2 2 2 2 3" xfId="11762"/>
    <cellStyle name="Normal 115 2 2 2 2 3" xfId="6603"/>
    <cellStyle name="Normal 115 2 2 2 2 3 2" xfId="15644"/>
    <cellStyle name="Normal 115 2 2 2 2 4" xfId="11131"/>
    <cellStyle name="Normal 115 2 2 2 3" xfId="2716"/>
    <cellStyle name="Normal 115 2 2 2 3 2" xfId="7233"/>
    <cellStyle name="Normal 115 2 2 2 3 2 2" xfId="16274"/>
    <cellStyle name="Normal 115 2 2 2 3 3" xfId="11761"/>
    <cellStyle name="Normal 115 2 2 2 4" xfId="5475"/>
    <cellStyle name="Normal 115 2 2 2 4 2" xfId="14516"/>
    <cellStyle name="Normal 115 2 2 2 5" xfId="10003"/>
    <cellStyle name="Normal 115 2 2 3" xfId="1516"/>
    <cellStyle name="Normal 115 2 2 3 2" xfId="2718"/>
    <cellStyle name="Normal 115 2 2 3 2 2" xfId="7235"/>
    <cellStyle name="Normal 115 2 2 3 2 2 2" xfId="16276"/>
    <cellStyle name="Normal 115 2 2 3 2 3" xfId="11763"/>
    <cellStyle name="Normal 115 2 2 3 3" xfId="6039"/>
    <cellStyle name="Normal 115 2 2 3 3 2" xfId="15080"/>
    <cellStyle name="Normal 115 2 2 3 4" xfId="10567"/>
    <cellStyle name="Normal 115 2 2 4" xfId="2715"/>
    <cellStyle name="Normal 115 2 2 4 2" xfId="7232"/>
    <cellStyle name="Normal 115 2 2 4 2 2" xfId="16273"/>
    <cellStyle name="Normal 115 2 2 4 3" xfId="11760"/>
    <cellStyle name="Normal 115 2 2 5" xfId="4911"/>
    <cellStyle name="Normal 115 2 2 5 2" xfId="13952"/>
    <cellStyle name="Normal 115 2 2 6" xfId="9439"/>
    <cellStyle name="Normal 115 2 3" xfId="534"/>
    <cellStyle name="Normal 115 2 3 2" xfId="1098"/>
    <cellStyle name="Normal 115 2 3 2 2" xfId="2268"/>
    <cellStyle name="Normal 115 2 3 2 2 2" xfId="2721"/>
    <cellStyle name="Normal 115 2 3 2 2 2 2" xfId="7238"/>
    <cellStyle name="Normal 115 2 3 2 2 2 2 2" xfId="16279"/>
    <cellStyle name="Normal 115 2 3 2 2 2 3" xfId="11766"/>
    <cellStyle name="Normal 115 2 3 2 2 3" xfId="6791"/>
    <cellStyle name="Normal 115 2 3 2 2 3 2" xfId="15832"/>
    <cellStyle name="Normal 115 2 3 2 2 4" xfId="11319"/>
    <cellStyle name="Normal 115 2 3 2 3" xfId="2720"/>
    <cellStyle name="Normal 115 2 3 2 3 2" xfId="7237"/>
    <cellStyle name="Normal 115 2 3 2 3 2 2" xfId="16278"/>
    <cellStyle name="Normal 115 2 3 2 3 3" xfId="11765"/>
    <cellStyle name="Normal 115 2 3 2 4" xfId="5663"/>
    <cellStyle name="Normal 115 2 3 2 4 2" xfId="14704"/>
    <cellStyle name="Normal 115 2 3 2 5" xfId="10191"/>
    <cellStyle name="Normal 115 2 3 3" xfId="1704"/>
    <cellStyle name="Normal 115 2 3 3 2" xfId="2722"/>
    <cellStyle name="Normal 115 2 3 3 2 2" xfId="7239"/>
    <cellStyle name="Normal 115 2 3 3 2 2 2" xfId="16280"/>
    <cellStyle name="Normal 115 2 3 3 2 3" xfId="11767"/>
    <cellStyle name="Normal 115 2 3 3 3" xfId="6227"/>
    <cellStyle name="Normal 115 2 3 3 3 2" xfId="15268"/>
    <cellStyle name="Normal 115 2 3 3 4" xfId="10755"/>
    <cellStyle name="Normal 115 2 3 4" xfId="2719"/>
    <cellStyle name="Normal 115 2 3 4 2" xfId="7236"/>
    <cellStyle name="Normal 115 2 3 4 2 2" xfId="16277"/>
    <cellStyle name="Normal 115 2 3 4 3" xfId="11764"/>
    <cellStyle name="Normal 115 2 3 5" xfId="5099"/>
    <cellStyle name="Normal 115 2 3 5 2" xfId="14140"/>
    <cellStyle name="Normal 115 2 3 6" xfId="9627"/>
    <cellStyle name="Normal 115 2 4" xfId="722"/>
    <cellStyle name="Normal 115 2 4 2" xfId="1892"/>
    <cellStyle name="Normal 115 2 4 2 2" xfId="2724"/>
    <cellStyle name="Normal 115 2 4 2 2 2" xfId="7241"/>
    <cellStyle name="Normal 115 2 4 2 2 2 2" xfId="16282"/>
    <cellStyle name="Normal 115 2 4 2 2 3" xfId="11769"/>
    <cellStyle name="Normal 115 2 4 2 3" xfId="6415"/>
    <cellStyle name="Normal 115 2 4 2 3 2" xfId="15456"/>
    <cellStyle name="Normal 115 2 4 2 4" xfId="10943"/>
    <cellStyle name="Normal 115 2 4 3" xfId="2723"/>
    <cellStyle name="Normal 115 2 4 3 2" xfId="7240"/>
    <cellStyle name="Normal 115 2 4 3 2 2" xfId="16281"/>
    <cellStyle name="Normal 115 2 4 3 3" xfId="11768"/>
    <cellStyle name="Normal 115 2 4 4" xfId="5287"/>
    <cellStyle name="Normal 115 2 4 4 2" xfId="14328"/>
    <cellStyle name="Normal 115 2 4 5" xfId="9815"/>
    <cellStyle name="Normal 115 2 5" xfId="1328"/>
    <cellStyle name="Normal 115 2 5 2" xfId="2725"/>
    <cellStyle name="Normal 115 2 5 2 2" xfId="7242"/>
    <cellStyle name="Normal 115 2 5 2 2 2" xfId="16283"/>
    <cellStyle name="Normal 115 2 5 2 3" xfId="11770"/>
    <cellStyle name="Normal 115 2 5 3" xfId="5851"/>
    <cellStyle name="Normal 115 2 5 3 2" xfId="14892"/>
    <cellStyle name="Normal 115 2 5 4" xfId="10379"/>
    <cellStyle name="Normal 115 2 6" xfId="2714"/>
    <cellStyle name="Normal 115 2 6 2" xfId="7231"/>
    <cellStyle name="Normal 115 2 6 2 2" xfId="16272"/>
    <cellStyle name="Normal 115 2 6 3" xfId="11759"/>
    <cellStyle name="Normal 115 2 7" xfId="4723"/>
    <cellStyle name="Normal 115 2 7 2" xfId="13764"/>
    <cellStyle name="Normal 115 2 8" xfId="9251"/>
    <cellStyle name="Normal 115 3" xfId="252"/>
    <cellStyle name="Normal 115 3 2" xfId="816"/>
    <cellStyle name="Normal 115 3 2 2" xfId="1986"/>
    <cellStyle name="Normal 115 3 2 2 2" xfId="2728"/>
    <cellStyle name="Normal 115 3 2 2 2 2" xfId="7245"/>
    <cellStyle name="Normal 115 3 2 2 2 2 2" xfId="16286"/>
    <cellStyle name="Normal 115 3 2 2 2 3" xfId="11773"/>
    <cellStyle name="Normal 115 3 2 2 3" xfId="6509"/>
    <cellStyle name="Normal 115 3 2 2 3 2" xfId="15550"/>
    <cellStyle name="Normal 115 3 2 2 4" xfId="11037"/>
    <cellStyle name="Normal 115 3 2 3" xfId="2727"/>
    <cellStyle name="Normal 115 3 2 3 2" xfId="7244"/>
    <cellStyle name="Normal 115 3 2 3 2 2" xfId="16285"/>
    <cellStyle name="Normal 115 3 2 3 3" xfId="11772"/>
    <cellStyle name="Normal 115 3 2 4" xfId="5381"/>
    <cellStyle name="Normal 115 3 2 4 2" xfId="14422"/>
    <cellStyle name="Normal 115 3 2 5" xfId="9909"/>
    <cellStyle name="Normal 115 3 3" xfId="1422"/>
    <cellStyle name="Normal 115 3 3 2" xfId="2729"/>
    <cellStyle name="Normal 115 3 3 2 2" xfId="7246"/>
    <cellStyle name="Normal 115 3 3 2 2 2" xfId="16287"/>
    <cellStyle name="Normal 115 3 3 2 3" xfId="11774"/>
    <cellStyle name="Normal 115 3 3 3" xfId="5945"/>
    <cellStyle name="Normal 115 3 3 3 2" xfId="14986"/>
    <cellStyle name="Normal 115 3 3 4" xfId="10473"/>
    <cellStyle name="Normal 115 3 4" xfId="2726"/>
    <cellStyle name="Normal 115 3 4 2" xfId="7243"/>
    <cellStyle name="Normal 115 3 4 2 2" xfId="16284"/>
    <cellStyle name="Normal 115 3 4 3" xfId="11771"/>
    <cellStyle name="Normal 115 3 5" xfId="4817"/>
    <cellStyle name="Normal 115 3 5 2" xfId="13858"/>
    <cellStyle name="Normal 115 3 6" xfId="9345"/>
    <cellStyle name="Normal 115 4" xfId="440"/>
    <cellStyle name="Normal 115 4 2" xfId="1004"/>
    <cellStyle name="Normal 115 4 2 2" xfId="2174"/>
    <cellStyle name="Normal 115 4 2 2 2" xfId="2732"/>
    <cellStyle name="Normal 115 4 2 2 2 2" xfId="7249"/>
    <cellStyle name="Normal 115 4 2 2 2 2 2" xfId="16290"/>
    <cellStyle name="Normal 115 4 2 2 2 3" xfId="11777"/>
    <cellStyle name="Normal 115 4 2 2 3" xfId="6697"/>
    <cellStyle name="Normal 115 4 2 2 3 2" xfId="15738"/>
    <cellStyle name="Normal 115 4 2 2 4" xfId="11225"/>
    <cellStyle name="Normal 115 4 2 3" xfId="2731"/>
    <cellStyle name="Normal 115 4 2 3 2" xfId="7248"/>
    <cellStyle name="Normal 115 4 2 3 2 2" xfId="16289"/>
    <cellStyle name="Normal 115 4 2 3 3" xfId="11776"/>
    <cellStyle name="Normal 115 4 2 4" xfId="5569"/>
    <cellStyle name="Normal 115 4 2 4 2" xfId="14610"/>
    <cellStyle name="Normal 115 4 2 5" xfId="10097"/>
    <cellStyle name="Normal 115 4 3" xfId="1610"/>
    <cellStyle name="Normal 115 4 3 2" xfId="2733"/>
    <cellStyle name="Normal 115 4 3 2 2" xfId="7250"/>
    <cellStyle name="Normal 115 4 3 2 2 2" xfId="16291"/>
    <cellStyle name="Normal 115 4 3 2 3" xfId="11778"/>
    <cellStyle name="Normal 115 4 3 3" xfId="6133"/>
    <cellStyle name="Normal 115 4 3 3 2" xfId="15174"/>
    <cellStyle name="Normal 115 4 3 4" xfId="10661"/>
    <cellStyle name="Normal 115 4 4" xfId="2730"/>
    <cellStyle name="Normal 115 4 4 2" xfId="7247"/>
    <cellStyle name="Normal 115 4 4 2 2" xfId="16288"/>
    <cellStyle name="Normal 115 4 4 3" xfId="11775"/>
    <cellStyle name="Normal 115 4 5" xfId="5005"/>
    <cellStyle name="Normal 115 4 5 2" xfId="14046"/>
    <cellStyle name="Normal 115 4 6" xfId="9533"/>
    <cellStyle name="Normal 115 5" xfId="628"/>
    <cellStyle name="Normal 115 5 2" xfId="1798"/>
    <cellStyle name="Normal 115 5 2 2" xfId="2735"/>
    <cellStyle name="Normal 115 5 2 2 2" xfId="7252"/>
    <cellStyle name="Normal 115 5 2 2 2 2" xfId="16293"/>
    <cellStyle name="Normal 115 5 2 2 3" xfId="11780"/>
    <cellStyle name="Normal 115 5 2 3" xfId="6321"/>
    <cellStyle name="Normal 115 5 2 3 2" xfId="15362"/>
    <cellStyle name="Normal 115 5 2 4" xfId="10849"/>
    <cellStyle name="Normal 115 5 3" xfId="2734"/>
    <cellStyle name="Normal 115 5 3 2" xfId="7251"/>
    <cellStyle name="Normal 115 5 3 2 2" xfId="16292"/>
    <cellStyle name="Normal 115 5 3 3" xfId="11779"/>
    <cellStyle name="Normal 115 5 4" xfId="5193"/>
    <cellStyle name="Normal 115 5 4 2" xfId="14234"/>
    <cellStyle name="Normal 115 5 5" xfId="9721"/>
    <cellStyle name="Normal 115 6" xfId="1234"/>
    <cellStyle name="Normal 115 6 2" xfId="2736"/>
    <cellStyle name="Normal 115 6 2 2" xfId="7253"/>
    <cellStyle name="Normal 115 6 2 2 2" xfId="16294"/>
    <cellStyle name="Normal 115 6 2 3" xfId="11781"/>
    <cellStyle name="Normal 115 6 3" xfId="5757"/>
    <cellStyle name="Normal 115 6 3 2" xfId="14798"/>
    <cellStyle name="Normal 115 6 4" xfId="10285"/>
    <cellStyle name="Normal 115 7" xfId="2713"/>
    <cellStyle name="Normal 115 7 2" xfId="7230"/>
    <cellStyle name="Normal 115 7 2 2" xfId="16271"/>
    <cellStyle name="Normal 115 7 3" xfId="11758"/>
    <cellStyle name="Normal 115 8" xfId="4629"/>
    <cellStyle name="Normal 115 8 2" xfId="13670"/>
    <cellStyle name="Normal 115 9" xfId="9157"/>
    <cellStyle name="Normal 116" xfId="22"/>
    <cellStyle name="Normal 116 2" xfId="118"/>
    <cellStyle name="Normal 116 2 2" xfId="347"/>
    <cellStyle name="Normal 116 2 2 2" xfId="911"/>
    <cellStyle name="Normal 116 2 2 2 2" xfId="2081"/>
    <cellStyle name="Normal 116 2 2 2 2 2" xfId="2741"/>
    <cellStyle name="Normal 116 2 2 2 2 2 2" xfId="7258"/>
    <cellStyle name="Normal 116 2 2 2 2 2 2 2" xfId="16299"/>
    <cellStyle name="Normal 116 2 2 2 2 2 3" xfId="11786"/>
    <cellStyle name="Normal 116 2 2 2 2 3" xfId="6604"/>
    <cellStyle name="Normal 116 2 2 2 2 3 2" xfId="15645"/>
    <cellStyle name="Normal 116 2 2 2 2 4" xfId="11132"/>
    <cellStyle name="Normal 116 2 2 2 3" xfId="2740"/>
    <cellStyle name="Normal 116 2 2 2 3 2" xfId="7257"/>
    <cellStyle name="Normal 116 2 2 2 3 2 2" xfId="16298"/>
    <cellStyle name="Normal 116 2 2 2 3 3" xfId="11785"/>
    <cellStyle name="Normal 116 2 2 2 4" xfId="5476"/>
    <cellStyle name="Normal 116 2 2 2 4 2" xfId="14517"/>
    <cellStyle name="Normal 116 2 2 2 5" xfId="10004"/>
    <cellStyle name="Normal 116 2 2 3" xfId="1517"/>
    <cellStyle name="Normal 116 2 2 3 2" xfId="2742"/>
    <cellStyle name="Normal 116 2 2 3 2 2" xfId="7259"/>
    <cellStyle name="Normal 116 2 2 3 2 2 2" xfId="16300"/>
    <cellStyle name="Normal 116 2 2 3 2 3" xfId="11787"/>
    <cellStyle name="Normal 116 2 2 3 3" xfId="6040"/>
    <cellStyle name="Normal 116 2 2 3 3 2" xfId="15081"/>
    <cellStyle name="Normal 116 2 2 3 4" xfId="10568"/>
    <cellStyle name="Normal 116 2 2 4" xfId="2739"/>
    <cellStyle name="Normal 116 2 2 4 2" xfId="7256"/>
    <cellStyle name="Normal 116 2 2 4 2 2" xfId="16297"/>
    <cellStyle name="Normal 116 2 2 4 3" xfId="11784"/>
    <cellStyle name="Normal 116 2 2 5" xfId="4912"/>
    <cellStyle name="Normal 116 2 2 5 2" xfId="13953"/>
    <cellStyle name="Normal 116 2 2 6" xfId="9440"/>
    <cellStyle name="Normal 116 2 3" xfId="535"/>
    <cellStyle name="Normal 116 2 3 2" xfId="1099"/>
    <cellStyle name="Normal 116 2 3 2 2" xfId="2269"/>
    <cellStyle name="Normal 116 2 3 2 2 2" xfId="2745"/>
    <cellStyle name="Normal 116 2 3 2 2 2 2" xfId="7262"/>
    <cellStyle name="Normal 116 2 3 2 2 2 2 2" xfId="16303"/>
    <cellStyle name="Normal 116 2 3 2 2 2 3" xfId="11790"/>
    <cellStyle name="Normal 116 2 3 2 2 3" xfId="6792"/>
    <cellStyle name="Normal 116 2 3 2 2 3 2" xfId="15833"/>
    <cellStyle name="Normal 116 2 3 2 2 4" xfId="11320"/>
    <cellStyle name="Normal 116 2 3 2 3" xfId="2744"/>
    <cellStyle name="Normal 116 2 3 2 3 2" xfId="7261"/>
    <cellStyle name="Normal 116 2 3 2 3 2 2" xfId="16302"/>
    <cellStyle name="Normal 116 2 3 2 3 3" xfId="11789"/>
    <cellStyle name="Normal 116 2 3 2 4" xfId="5664"/>
    <cellStyle name="Normal 116 2 3 2 4 2" xfId="14705"/>
    <cellStyle name="Normal 116 2 3 2 5" xfId="10192"/>
    <cellStyle name="Normal 116 2 3 3" xfId="1705"/>
    <cellStyle name="Normal 116 2 3 3 2" xfId="2746"/>
    <cellStyle name="Normal 116 2 3 3 2 2" xfId="7263"/>
    <cellStyle name="Normal 116 2 3 3 2 2 2" xfId="16304"/>
    <cellStyle name="Normal 116 2 3 3 2 3" xfId="11791"/>
    <cellStyle name="Normal 116 2 3 3 3" xfId="6228"/>
    <cellStyle name="Normal 116 2 3 3 3 2" xfId="15269"/>
    <cellStyle name="Normal 116 2 3 3 4" xfId="10756"/>
    <cellStyle name="Normal 116 2 3 4" xfId="2743"/>
    <cellStyle name="Normal 116 2 3 4 2" xfId="7260"/>
    <cellStyle name="Normal 116 2 3 4 2 2" xfId="16301"/>
    <cellStyle name="Normal 116 2 3 4 3" xfId="11788"/>
    <cellStyle name="Normal 116 2 3 5" xfId="5100"/>
    <cellStyle name="Normal 116 2 3 5 2" xfId="14141"/>
    <cellStyle name="Normal 116 2 3 6" xfId="9628"/>
    <cellStyle name="Normal 116 2 4" xfId="723"/>
    <cellStyle name="Normal 116 2 4 2" xfId="1893"/>
    <cellStyle name="Normal 116 2 4 2 2" xfId="2748"/>
    <cellStyle name="Normal 116 2 4 2 2 2" xfId="7265"/>
    <cellStyle name="Normal 116 2 4 2 2 2 2" xfId="16306"/>
    <cellStyle name="Normal 116 2 4 2 2 3" xfId="11793"/>
    <cellStyle name="Normal 116 2 4 2 3" xfId="6416"/>
    <cellStyle name="Normal 116 2 4 2 3 2" xfId="15457"/>
    <cellStyle name="Normal 116 2 4 2 4" xfId="10944"/>
    <cellStyle name="Normal 116 2 4 3" xfId="2747"/>
    <cellStyle name="Normal 116 2 4 3 2" xfId="7264"/>
    <cellStyle name="Normal 116 2 4 3 2 2" xfId="16305"/>
    <cellStyle name="Normal 116 2 4 3 3" xfId="11792"/>
    <cellStyle name="Normal 116 2 4 4" xfId="5288"/>
    <cellStyle name="Normal 116 2 4 4 2" xfId="14329"/>
    <cellStyle name="Normal 116 2 4 5" xfId="9816"/>
    <cellStyle name="Normal 116 2 5" xfId="1329"/>
    <cellStyle name="Normal 116 2 5 2" xfId="2749"/>
    <cellStyle name="Normal 116 2 5 2 2" xfId="7266"/>
    <cellStyle name="Normal 116 2 5 2 2 2" xfId="16307"/>
    <cellStyle name="Normal 116 2 5 2 3" xfId="11794"/>
    <cellStyle name="Normal 116 2 5 3" xfId="5852"/>
    <cellStyle name="Normal 116 2 5 3 2" xfId="14893"/>
    <cellStyle name="Normal 116 2 5 4" xfId="10380"/>
    <cellStyle name="Normal 116 2 6" xfId="2738"/>
    <cellStyle name="Normal 116 2 6 2" xfId="7255"/>
    <cellStyle name="Normal 116 2 6 2 2" xfId="16296"/>
    <cellStyle name="Normal 116 2 6 3" xfId="11783"/>
    <cellStyle name="Normal 116 2 7" xfId="4724"/>
    <cellStyle name="Normal 116 2 7 2" xfId="13765"/>
    <cellStyle name="Normal 116 2 8" xfId="9252"/>
    <cellStyle name="Normal 116 3" xfId="253"/>
    <cellStyle name="Normal 116 3 2" xfId="817"/>
    <cellStyle name="Normal 116 3 2 2" xfId="1987"/>
    <cellStyle name="Normal 116 3 2 2 2" xfId="2752"/>
    <cellStyle name="Normal 116 3 2 2 2 2" xfId="7269"/>
    <cellStyle name="Normal 116 3 2 2 2 2 2" xfId="16310"/>
    <cellStyle name="Normal 116 3 2 2 2 3" xfId="11797"/>
    <cellStyle name="Normal 116 3 2 2 3" xfId="6510"/>
    <cellStyle name="Normal 116 3 2 2 3 2" xfId="15551"/>
    <cellStyle name="Normal 116 3 2 2 4" xfId="11038"/>
    <cellStyle name="Normal 116 3 2 3" xfId="2751"/>
    <cellStyle name="Normal 116 3 2 3 2" xfId="7268"/>
    <cellStyle name="Normal 116 3 2 3 2 2" xfId="16309"/>
    <cellStyle name="Normal 116 3 2 3 3" xfId="11796"/>
    <cellStyle name="Normal 116 3 2 4" xfId="5382"/>
    <cellStyle name="Normal 116 3 2 4 2" xfId="14423"/>
    <cellStyle name="Normal 116 3 2 5" xfId="9910"/>
    <cellStyle name="Normal 116 3 3" xfId="1423"/>
    <cellStyle name="Normal 116 3 3 2" xfId="2753"/>
    <cellStyle name="Normal 116 3 3 2 2" xfId="7270"/>
    <cellStyle name="Normal 116 3 3 2 2 2" xfId="16311"/>
    <cellStyle name="Normal 116 3 3 2 3" xfId="11798"/>
    <cellStyle name="Normal 116 3 3 3" xfId="5946"/>
    <cellStyle name="Normal 116 3 3 3 2" xfId="14987"/>
    <cellStyle name="Normal 116 3 3 4" xfId="10474"/>
    <cellStyle name="Normal 116 3 4" xfId="2750"/>
    <cellStyle name="Normal 116 3 4 2" xfId="7267"/>
    <cellStyle name="Normal 116 3 4 2 2" xfId="16308"/>
    <cellStyle name="Normal 116 3 4 3" xfId="11795"/>
    <cellStyle name="Normal 116 3 5" xfId="4818"/>
    <cellStyle name="Normal 116 3 5 2" xfId="13859"/>
    <cellStyle name="Normal 116 3 6" xfId="9346"/>
    <cellStyle name="Normal 116 4" xfId="441"/>
    <cellStyle name="Normal 116 4 2" xfId="1005"/>
    <cellStyle name="Normal 116 4 2 2" xfId="2175"/>
    <cellStyle name="Normal 116 4 2 2 2" xfId="2756"/>
    <cellStyle name="Normal 116 4 2 2 2 2" xfId="7273"/>
    <cellStyle name="Normal 116 4 2 2 2 2 2" xfId="16314"/>
    <cellStyle name="Normal 116 4 2 2 2 3" xfId="11801"/>
    <cellStyle name="Normal 116 4 2 2 3" xfId="6698"/>
    <cellStyle name="Normal 116 4 2 2 3 2" xfId="15739"/>
    <cellStyle name="Normal 116 4 2 2 4" xfId="11226"/>
    <cellStyle name="Normal 116 4 2 3" xfId="2755"/>
    <cellStyle name="Normal 116 4 2 3 2" xfId="7272"/>
    <cellStyle name="Normal 116 4 2 3 2 2" xfId="16313"/>
    <cellStyle name="Normal 116 4 2 3 3" xfId="11800"/>
    <cellStyle name="Normal 116 4 2 4" xfId="5570"/>
    <cellStyle name="Normal 116 4 2 4 2" xfId="14611"/>
    <cellStyle name="Normal 116 4 2 5" xfId="10098"/>
    <cellStyle name="Normal 116 4 3" xfId="1611"/>
    <cellStyle name="Normal 116 4 3 2" xfId="2757"/>
    <cellStyle name="Normal 116 4 3 2 2" xfId="7274"/>
    <cellStyle name="Normal 116 4 3 2 2 2" xfId="16315"/>
    <cellStyle name="Normal 116 4 3 2 3" xfId="11802"/>
    <cellStyle name="Normal 116 4 3 3" xfId="6134"/>
    <cellStyle name="Normal 116 4 3 3 2" xfId="15175"/>
    <cellStyle name="Normal 116 4 3 4" xfId="10662"/>
    <cellStyle name="Normal 116 4 4" xfId="2754"/>
    <cellStyle name="Normal 116 4 4 2" xfId="7271"/>
    <cellStyle name="Normal 116 4 4 2 2" xfId="16312"/>
    <cellStyle name="Normal 116 4 4 3" xfId="11799"/>
    <cellStyle name="Normal 116 4 5" xfId="5006"/>
    <cellStyle name="Normal 116 4 5 2" xfId="14047"/>
    <cellStyle name="Normal 116 4 6" xfId="9534"/>
    <cellStyle name="Normal 116 5" xfId="629"/>
    <cellStyle name="Normal 116 5 2" xfId="1799"/>
    <cellStyle name="Normal 116 5 2 2" xfId="2759"/>
    <cellStyle name="Normal 116 5 2 2 2" xfId="7276"/>
    <cellStyle name="Normal 116 5 2 2 2 2" xfId="16317"/>
    <cellStyle name="Normal 116 5 2 2 3" xfId="11804"/>
    <cellStyle name="Normal 116 5 2 3" xfId="6322"/>
    <cellStyle name="Normal 116 5 2 3 2" xfId="15363"/>
    <cellStyle name="Normal 116 5 2 4" xfId="10850"/>
    <cellStyle name="Normal 116 5 3" xfId="2758"/>
    <cellStyle name="Normal 116 5 3 2" xfId="7275"/>
    <cellStyle name="Normal 116 5 3 2 2" xfId="16316"/>
    <cellStyle name="Normal 116 5 3 3" xfId="11803"/>
    <cellStyle name="Normal 116 5 4" xfId="5194"/>
    <cellStyle name="Normal 116 5 4 2" xfId="14235"/>
    <cellStyle name="Normal 116 5 5" xfId="9722"/>
    <cellStyle name="Normal 116 6" xfId="1235"/>
    <cellStyle name="Normal 116 6 2" xfId="2760"/>
    <cellStyle name="Normal 116 6 2 2" xfId="7277"/>
    <cellStyle name="Normal 116 6 2 2 2" xfId="16318"/>
    <cellStyle name="Normal 116 6 2 3" xfId="11805"/>
    <cellStyle name="Normal 116 6 3" xfId="5758"/>
    <cellStyle name="Normal 116 6 3 2" xfId="14799"/>
    <cellStyle name="Normal 116 6 4" xfId="10286"/>
    <cellStyle name="Normal 116 7" xfId="2737"/>
    <cellStyle name="Normal 116 7 2" xfId="7254"/>
    <cellStyle name="Normal 116 7 2 2" xfId="16295"/>
    <cellStyle name="Normal 116 7 3" xfId="11782"/>
    <cellStyle name="Normal 116 8" xfId="4630"/>
    <cellStyle name="Normal 116 8 2" xfId="13671"/>
    <cellStyle name="Normal 116 9" xfId="9158"/>
    <cellStyle name="Normal 117" xfId="23"/>
    <cellStyle name="Normal 117 2" xfId="119"/>
    <cellStyle name="Normal 117 2 2" xfId="348"/>
    <cellStyle name="Normal 117 2 2 2" xfId="912"/>
    <cellStyle name="Normal 117 2 2 2 2" xfId="2082"/>
    <cellStyle name="Normal 117 2 2 2 2 2" xfId="2765"/>
    <cellStyle name="Normal 117 2 2 2 2 2 2" xfId="7282"/>
    <cellStyle name="Normal 117 2 2 2 2 2 2 2" xfId="16323"/>
    <cellStyle name="Normal 117 2 2 2 2 2 3" xfId="11810"/>
    <cellStyle name="Normal 117 2 2 2 2 3" xfId="6605"/>
    <cellStyle name="Normal 117 2 2 2 2 3 2" xfId="15646"/>
    <cellStyle name="Normal 117 2 2 2 2 4" xfId="11133"/>
    <cellStyle name="Normal 117 2 2 2 3" xfId="2764"/>
    <cellStyle name="Normal 117 2 2 2 3 2" xfId="7281"/>
    <cellStyle name="Normal 117 2 2 2 3 2 2" xfId="16322"/>
    <cellStyle name="Normal 117 2 2 2 3 3" xfId="11809"/>
    <cellStyle name="Normal 117 2 2 2 4" xfId="5477"/>
    <cellStyle name="Normal 117 2 2 2 4 2" xfId="14518"/>
    <cellStyle name="Normal 117 2 2 2 5" xfId="10005"/>
    <cellStyle name="Normal 117 2 2 3" xfId="1518"/>
    <cellStyle name="Normal 117 2 2 3 2" xfId="2766"/>
    <cellStyle name="Normal 117 2 2 3 2 2" xfId="7283"/>
    <cellStyle name="Normal 117 2 2 3 2 2 2" xfId="16324"/>
    <cellStyle name="Normal 117 2 2 3 2 3" xfId="11811"/>
    <cellStyle name="Normal 117 2 2 3 3" xfId="6041"/>
    <cellStyle name="Normal 117 2 2 3 3 2" xfId="15082"/>
    <cellStyle name="Normal 117 2 2 3 4" xfId="10569"/>
    <cellStyle name="Normal 117 2 2 4" xfId="2763"/>
    <cellStyle name="Normal 117 2 2 4 2" xfId="7280"/>
    <cellStyle name="Normal 117 2 2 4 2 2" xfId="16321"/>
    <cellStyle name="Normal 117 2 2 4 3" xfId="11808"/>
    <cellStyle name="Normal 117 2 2 5" xfId="4913"/>
    <cellStyle name="Normal 117 2 2 5 2" xfId="13954"/>
    <cellStyle name="Normal 117 2 2 6" xfId="9441"/>
    <cellStyle name="Normal 117 2 3" xfId="536"/>
    <cellStyle name="Normal 117 2 3 2" xfId="1100"/>
    <cellStyle name="Normal 117 2 3 2 2" xfId="2270"/>
    <cellStyle name="Normal 117 2 3 2 2 2" xfId="2769"/>
    <cellStyle name="Normal 117 2 3 2 2 2 2" xfId="7286"/>
    <cellStyle name="Normal 117 2 3 2 2 2 2 2" xfId="16327"/>
    <cellStyle name="Normal 117 2 3 2 2 2 3" xfId="11814"/>
    <cellStyle name="Normal 117 2 3 2 2 3" xfId="6793"/>
    <cellStyle name="Normal 117 2 3 2 2 3 2" xfId="15834"/>
    <cellStyle name="Normal 117 2 3 2 2 4" xfId="11321"/>
    <cellStyle name="Normal 117 2 3 2 3" xfId="2768"/>
    <cellStyle name="Normal 117 2 3 2 3 2" xfId="7285"/>
    <cellStyle name="Normal 117 2 3 2 3 2 2" xfId="16326"/>
    <cellStyle name="Normal 117 2 3 2 3 3" xfId="11813"/>
    <cellStyle name="Normal 117 2 3 2 4" xfId="5665"/>
    <cellStyle name="Normal 117 2 3 2 4 2" xfId="14706"/>
    <cellStyle name="Normal 117 2 3 2 5" xfId="10193"/>
    <cellStyle name="Normal 117 2 3 3" xfId="1706"/>
    <cellStyle name="Normal 117 2 3 3 2" xfId="2770"/>
    <cellStyle name="Normal 117 2 3 3 2 2" xfId="7287"/>
    <cellStyle name="Normal 117 2 3 3 2 2 2" xfId="16328"/>
    <cellStyle name="Normal 117 2 3 3 2 3" xfId="11815"/>
    <cellStyle name="Normal 117 2 3 3 3" xfId="6229"/>
    <cellStyle name="Normal 117 2 3 3 3 2" xfId="15270"/>
    <cellStyle name="Normal 117 2 3 3 4" xfId="10757"/>
    <cellStyle name="Normal 117 2 3 4" xfId="2767"/>
    <cellStyle name="Normal 117 2 3 4 2" xfId="7284"/>
    <cellStyle name="Normal 117 2 3 4 2 2" xfId="16325"/>
    <cellStyle name="Normal 117 2 3 4 3" xfId="11812"/>
    <cellStyle name="Normal 117 2 3 5" xfId="5101"/>
    <cellStyle name="Normal 117 2 3 5 2" xfId="14142"/>
    <cellStyle name="Normal 117 2 3 6" xfId="9629"/>
    <cellStyle name="Normal 117 2 4" xfId="724"/>
    <cellStyle name="Normal 117 2 4 2" xfId="1894"/>
    <cellStyle name="Normal 117 2 4 2 2" xfId="2772"/>
    <cellStyle name="Normal 117 2 4 2 2 2" xfId="7289"/>
    <cellStyle name="Normal 117 2 4 2 2 2 2" xfId="16330"/>
    <cellStyle name="Normal 117 2 4 2 2 3" xfId="11817"/>
    <cellStyle name="Normal 117 2 4 2 3" xfId="6417"/>
    <cellStyle name="Normal 117 2 4 2 3 2" xfId="15458"/>
    <cellStyle name="Normal 117 2 4 2 4" xfId="10945"/>
    <cellStyle name="Normal 117 2 4 3" xfId="2771"/>
    <cellStyle name="Normal 117 2 4 3 2" xfId="7288"/>
    <cellStyle name="Normal 117 2 4 3 2 2" xfId="16329"/>
    <cellStyle name="Normal 117 2 4 3 3" xfId="11816"/>
    <cellStyle name="Normal 117 2 4 4" xfId="5289"/>
    <cellStyle name="Normal 117 2 4 4 2" xfId="14330"/>
    <cellStyle name="Normal 117 2 4 5" xfId="9817"/>
    <cellStyle name="Normal 117 2 5" xfId="1330"/>
    <cellStyle name="Normal 117 2 5 2" xfId="2773"/>
    <cellStyle name="Normal 117 2 5 2 2" xfId="7290"/>
    <cellStyle name="Normal 117 2 5 2 2 2" xfId="16331"/>
    <cellStyle name="Normal 117 2 5 2 3" xfId="11818"/>
    <cellStyle name="Normal 117 2 5 3" xfId="5853"/>
    <cellStyle name="Normal 117 2 5 3 2" xfId="14894"/>
    <cellStyle name="Normal 117 2 5 4" xfId="10381"/>
    <cellStyle name="Normal 117 2 6" xfId="2762"/>
    <cellStyle name="Normal 117 2 6 2" xfId="7279"/>
    <cellStyle name="Normal 117 2 6 2 2" xfId="16320"/>
    <cellStyle name="Normal 117 2 6 3" xfId="11807"/>
    <cellStyle name="Normal 117 2 7" xfId="4725"/>
    <cellStyle name="Normal 117 2 7 2" xfId="13766"/>
    <cellStyle name="Normal 117 2 8" xfId="9253"/>
    <cellStyle name="Normal 117 3" xfId="254"/>
    <cellStyle name="Normal 117 3 2" xfId="818"/>
    <cellStyle name="Normal 117 3 2 2" xfId="1988"/>
    <cellStyle name="Normal 117 3 2 2 2" xfId="2776"/>
    <cellStyle name="Normal 117 3 2 2 2 2" xfId="7293"/>
    <cellStyle name="Normal 117 3 2 2 2 2 2" xfId="16334"/>
    <cellStyle name="Normal 117 3 2 2 2 3" xfId="11821"/>
    <cellStyle name="Normal 117 3 2 2 3" xfId="6511"/>
    <cellStyle name="Normal 117 3 2 2 3 2" xfId="15552"/>
    <cellStyle name="Normal 117 3 2 2 4" xfId="11039"/>
    <cellStyle name="Normal 117 3 2 3" xfId="2775"/>
    <cellStyle name="Normal 117 3 2 3 2" xfId="7292"/>
    <cellStyle name="Normal 117 3 2 3 2 2" xfId="16333"/>
    <cellStyle name="Normal 117 3 2 3 3" xfId="11820"/>
    <cellStyle name="Normal 117 3 2 4" xfId="5383"/>
    <cellStyle name="Normal 117 3 2 4 2" xfId="14424"/>
    <cellStyle name="Normal 117 3 2 5" xfId="9911"/>
    <cellStyle name="Normal 117 3 3" xfId="1424"/>
    <cellStyle name="Normal 117 3 3 2" xfId="2777"/>
    <cellStyle name="Normal 117 3 3 2 2" xfId="7294"/>
    <cellStyle name="Normal 117 3 3 2 2 2" xfId="16335"/>
    <cellStyle name="Normal 117 3 3 2 3" xfId="11822"/>
    <cellStyle name="Normal 117 3 3 3" xfId="5947"/>
    <cellStyle name="Normal 117 3 3 3 2" xfId="14988"/>
    <cellStyle name="Normal 117 3 3 4" xfId="10475"/>
    <cellStyle name="Normal 117 3 4" xfId="2774"/>
    <cellStyle name="Normal 117 3 4 2" xfId="7291"/>
    <cellStyle name="Normal 117 3 4 2 2" xfId="16332"/>
    <cellStyle name="Normal 117 3 4 3" xfId="11819"/>
    <cellStyle name="Normal 117 3 5" xfId="4819"/>
    <cellStyle name="Normal 117 3 5 2" xfId="13860"/>
    <cellStyle name="Normal 117 3 6" xfId="9347"/>
    <cellStyle name="Normal 117 4" xfId="442"/>
    <cellStyle name="Normal 117 4 2" xfId="1006"/>
    <cellStyle name="Normal 117 4 2 2" xfId="2176"/>
    <cellStyle name="Normal 117 4 2 2 2" xfId="2780"/>
    <cellStyle name="Normal 117 4 2 2 2 2" xfId="7297"/>
    <cellStyle name="Normal 117 4 2 2 2 2 2" xfId="16338"/>
    <cellStyle name="Normal 117 4 2 2 2 3" xfId="11825"/>
    <cellStyle name="Normal 117 4 2 2 3" xfId="6699"/>
    <cellStyle name="Normal 117 4 2 2 3 2" xfId="15740"/>
    <cellStyle name="Normal 117 4 2 2 4" xfId="11227"/>
    <cellStyle name="Normal 117 4 2 3" xfId="2779"/>
    <cellStyle name="Normal 117 4 2 3 2" xfId="7296"/>
    <cellStyle name="Normal 117 4 2 3 2 2" xfId="16337"/>
    <cellStyle name="Normal 117 4 2 3 3" xfId="11824"/>
    <cellStyle name="Normal 117 4 2 4" xfId="5571"/>
    <cellStyle name="Normal 117 4 2 4 2" xfId="14612"/>
    <cellStyle name="Normal 117 4 2 5" xfId="10099"/>
    <cellStyle name="Normal 117 4 3" xfId="1612"/>
    <cellStyle name="Normal 117 4 3 2" xfId="2781"/>
    <cellStyle name="Normal 117 4 3 2 2" xfId="7298"/>
    <cellStyle name="Normal 117 4 3 2 2 2" xfId="16339"/>
    <cellStyle name="Normal 117 4 3 2 3" xfId="11826"/>
    <cellStyle name="Normal 117 4 3 3" xfId="6135"/>
    <cellStyle name="Normal 117 4 3 3 2" xfId="15176"/>
    <cellStyle name="Normal 117 4 3 4" xfId="10663"/>
    <cellStyle name="Normal 117 4 4" xfId="2778"/>
    <cellStyle name="Normal 117 4 4 2" xfId="7295"/>
    <cellStyle name="Normal 117 4 4 2 2" xfId="16336"/>
    <cellStyle name="Normal 117 4 4 3" xfId="11823"/>
    <cellStyle name="Normal 117 4 5" xfId="5007"/>
    <cellStyle name="Normal 117 4 5 2" xfId="14048"/>
    <cellStyle name="Normal 117 4 6" xfId="9535"/>
    <cellStyle name="Normal 117 5" xfId="630"/>
    <cellStyle name="Normal 117 5 2" xfId="1800"/>
    <cellStyle name="Normal 117 5 2 2" xfId="2783"/>
    <cellStyle name="Normal 117 5 2 2 2" xfId="7300"/>
    <cellStyle name="Normal 117 5 2 2 2 2" xfId="16341"/>
    <cellStyle name="Normal 117 5 2 2 3" xfId="11828"/>
    <cellStyle name="Normal 117 5 2 3" xfId="6323"/>
    <cellStyle name="Normal 117 5 2 3 2" xfId="15364"/>
    <cellStyle name="Normal 117 5 2 4" xfId="10851"/>
    <cellStyle name="Normal 117 5 3" xfId="2782"/>
    <cellStyle name="Normal 117 5 3 2" xfId="7299"/>
    <cellStyle name="Normal 117 5 3 2 2" xfId="16340"/>
    <cellStyle name="Normal 117 5 3 3" xfId="11827"/>
    <cellStyle name="Normal 117 5 4" xfId="5195"/>
    <cellStyle name="Normal 117 5 4 2" xfId="14236"/>
    <cellStyle name="Normal 117 5 5" xfId="9723"/>
    <cellStyle name="Normal 117 6" xfId="1236"/>
    <cellStyle name="Normal 117 6 2" xfId="2784"/>
    <cellStyle name="Normal 117 6 2 2" xfId="7301"/>
    <cellStyle name="Normal 117 6 2 2 2" xfId="16342"/>
    <cellStyle name="Normal 117 6 2 3" xfId="11829"/>
    <cellStyle name="Normal 117 6 3" xfId="5759"/>
    <cellStyle name="Normal 117 6 3 2" xfId="14800"/>
    <cellStyle name="Normal 117 6 4" xfId="10287"/>
    <cellStyle name="Normal 117 7" xfId="2761"/>
    <cellStyle name="Normal 117 7 2" xfId="7278"/>
    <cellStyle name="Normal 117 7 2 2" xfId="16319"/>
    <cellStyle name="Normal 117 7 3" xfId="11806"/>
    <cellStyle name="Normal 117 8" xfId="4631"/>
    <cellStyle name="Normal 117 8 2" xfId="13672"/>
    <cellStyle name="Normal 117 9" xfId="9159"/>
    <cellStyle name="Normal 118" xfId="24"/>
    <cellStyle name="Normal 118 2" xfId="120"/>
    <cellStyle name="Normal 118 2 2" xfId="349"/>
    <cellStyle name="Normal 118 2 2 2" xfId="913"/>
    <cellStyle name="Normal 118 2 2 2 2" xfId="2083"/>
    <cellStyle name="Normal 118 2 2 2 2 2" xfId="2789"/>
    <cellStyle name="Normal 118 2 2 2 2 2 2" xfId="7306"/>
    <cellStyle name="Normal 118 2 2 2 2 2 2 2" xfId="16347"/>
    <cellStyle name="Normal 118 2 2 2 2 2 3" xfId="11834"/>
    <cellStyle name="Normal 118 2 2 2 2 3" xfId="6606"/>
    <cellStyle name="Normal 118 2 2 2 2 3 2" xfId="15647"/>
    <cellStyle name="Normal 118 2 2 2 2 4" xfId="11134"/>
    <cellStyle name="Normal 118 2 2 2 3" xfId="2788"/>
    <cellStyle name="Normal 118 2 2 2 3 2" xfId="7305"/>
    <cellStyle name="Normal 118 2 2 2 3 2 2" xfId="16346"/>
    <cellStyle name="Normal 118 2 2 2 3 3" xfId="11833"/>
    <cellStyle name="Normal 118 2 2 2 4" xfId="5478"/>
    <cellStyle name="Normal 118 2 2 2 4 2" xfId="14519"/>
    <cellStyle name="Normal 118 2 2 2 5" xfId="10006"/>
    <cellStyle name="Normal 118 2 2 3" xfId="1519"/>
    <cellStyle name="Normal 118 2 2 3 2" xfId="2790"/>
    <cellStyle name="Normal 118 2 2 3 2 2" xfId="7307"/>
    <cellStyle name="Normal 118 2 2 3 2 2 2" xfId="16348"/>
    <cellStyle name="Normal 118 2 2 3 2 3" xfId="11835"/>
    <cellStyle name="Normal 118 2 2 3 3" xfId="6042"/>
    <cellStyle name="Normal 118 2 2 3 3 2" xfId="15083"/>
    <cellStyle name="Normal 118 2 2 3 4" xfId="10570"/>
    <cellStyle name="Normal 118 2 2 4" xfId="2787"/>
    <cellStyle name="Normal 118 2 2 4 2" xfId="7304"/>
    <cellStyle name="Normal 118 2 2 4 2 2" xfId="16345"/>
    <cellStyle name="Normal 118 2 2 4 3" xfId="11832"/>
    <cellStyle name="Normal 118 2 2 5" xfId="4914"/>
    <cellStyle name="Normal 118 2 2 5 2" xfId="13955"/>
    <cellStyle name="Normal 118 2 2 6" xfId="9442"/>
    <cellStyle name="Normal 118 2 3" xfId="537"/>
    <cellStyle name="Normal 118 2 3 2" xfId="1101"/>
    <cellStyle name="Normal 118 2 3 2 2" xfId="2271"/>
    <cellStyle name="Normal 118 2 3 2 2 2" xfId="2793"/>
    <cellStyle name="Normal 118 2 3 2 2 2 2" xfId="7310"/>
    <cellStyle name="Normal 118 2 3 2 2 2 2 2" xfId="16351"/>
    <cellStyle name="Normal 118 2 3 2 2 2 3" xfId="11838"/>
    <cellStyle name="Normal 118 2 3 2 2 3" xfId="6794"/>
    <cellStyle name="Normal 118 2 3 2 2 3 2" xfId="15835"/>
    <cellStyle name="Normal 118 2 3 2 2 4" xfId="11322"/>
    <cellStyle name="Normal 118 2 3 2 3" xfId="2792"/>
    <cellStyle name="Normal 118 2 3 2 3 2" xfId="7309"/>
    <cellStyle name="Normal 118 2 3 2 3 2 2" xfId="16350"/>
    <cellStyle name="Normal 118 2 3 2 3 3" xfId="11837"/>
    <cellStyle name="Normal 118 2 3 2 4" xfId="5666"/>
    <cellStyle name="Normal 118 2 3 2 4 2" xfId="14707"/>
    <cellStyle name="Normal 118 2 3 2 5" xfId="10194"/>
    <cellStyle name="Normal 118 2 3 3" xfId="1707"/>
    <cellStyle name="Normal 118 2 3 3 2" xfId="2794"/>
    <cellStyle name="Normal 118 2 3 3 2 2" xfId="7311"/>
    <cellStyle name="Normal 118 2 3 3 2 2 2" xfId="16352"/>
    <cellStyle name="Normal 118 2 3 3 2 3" xfId="11839"/>
    <cellStyle name="Normal 118 2 3 3 3" xfId="6230"/>
    <cellStyle name="Normal 118 2 3 3 3 2" xfId="15271"/>
    <cellStyle name="Normal 118 2 3 3 4" xfId="10758"/>
    <cellStyle name="Normal 118 2 3 4" xfId="2791"/>
    <cellStyle name="Normal 118 2 3 4 2" xfId="7308"/>
    <cellStyle name="Normal 118 2 3 4 2 2" xfId="16349"/>
    <cellStyle name="Normal 118 2 3 4 3" xfId="11836"/>
    <cellStyle name="Normal 118 2 3 5" xfId="5102"/>
    <cellStyle name="Normal 118 2 3 5 2" xfId="14143"/>
    <cellStyle name="Normal 118 2 3 6" xfId="9630"/>
    <cellStyle name="Normal 118 2 4" xfId="725"/>
    <cellStyle name="Normal 118 2 4 2" xfId="1895"/>
    <cellStyle name="Normal 118 2 4 2 2" xfId="2796"/>
    <cellStyle name="Normal 118 2 4 2 2 2" xfId="7313"/>
    <cellStyle name="Normal 118 2 4 2 2 2 2" xfId="16354"/>
    <cellStyle name="Normal 118 2 4 2 2 3" xfId="11841"/>
    <cellStyle name="Normal 118 2 4 2 3" xfId="6418"/>
    <cellStyle name="Normal 118 2 4 2 3 2" xfId="15459"/>
    <cellStyle name="Normal 118 2 4 2 4" xfId="10946"/>
    <cellStyle name="Normal 118 2 4 3" xfId="2795"/>
    <cellStyle name="Normal 118 2 4 3 2" xfId="7312"/>
    <cellStyle name="Normal 118 2 4 3 2 2" xfId="16353"/>
    <cellStyle name="Normal 118 2 4 3 3" xfId="11840"/>
    <cellStyle name="Normal 118 2 4 4" xfId="5290"/>
    <cellStyle name="Normal 118 2 4 4 2" xfId="14331"/>
    <cellStyle name="Normal 118 2 4 5" xfId="9818"/>
    <cellStyle name="Normal 118 2 5" xfId="1331"/>
    <cellStyle name="Normal 118 2 5 2" xfId="2797"/>
    <cellStyle name="Normal 118 2 5 2 2" xfId="7314"/>
    <cellStyle name="Normal 118 2 5 2 2 2" xfId="16355"/>
    <cellStyle name="Normal 118 2 5 2 3" xfId="11842"/>
    <cellStyle name="Normal 118 2 5 3" xfId="5854"/>
    <cellStyle name="Normal 118 2 5 3 2" xfId="14895"/>
    <cellStyle name="Normal 118 2 5 4" xfId="10382"/>
    <cellStyle name="Normal 118 2 6" xfId="2786"/>
    <cellStyle name="Normal 118 2 6 2" xfId="7303"/>
    <cellStyle name="Normal 118 2 6 2 2" xfId="16344"/>
    <cellStyle name="Normal 118 2 6 3" xfId="11831"/>
    <cellStyle name="Normal 118 2 7" xfId="4726"/>
    <cellStyle name="Normal 118 2 7 2" xfId="13767"/>
    <cellStyle name="Normal 118 2 8" xfId="9254"/>
    <cellStyle name="Normal 118 3" xfId="255"/>
    <cellStyle name="Normal 118 3 2" xfId="819"/>
    <cellStyle name="Normal 118 3 2 2" xfId="1989"/>
    <cellStyle name="Normal 118 3 2 2 2" xfId="2800"/>
    <cellStyle name="Normal 118 3 2 2 2 2" xfId="7317"/>
    <cellStyle name="Normal 118 3 2 2 2 2 2" xfId="16358"/>
    <cellStyle name="Normal 118 3 2 2 2 3" xfId="11845"/>
    <cellStyle name="Normal 118 3 2 2 3" xfId="6512"/>
    <cellStyle name="Normal 118 3 2 2 3 2" xfId="15553"/>
    <cellStyle name="Normal 118 3 2 2 4" xfId="11040"/>
    <cellStyle name="Normal 118 3 2 3" xfId="2799"/>
    <cellStyle name="Normal 118 3 2 3 2" xfId="7316"/>
    <cellStyle name="Normal 118 3 2 3 2 2" xfId="16357"/>
    <cellStyle name="Normal 118 3 2 3 3" xfId="11844"/>
    <cellStyle name="Normal 118 3 2 4" xfId="5384"/>
    <cellStyle name="Normal 118 3 2 4 2" xfId="14425"/>
    <cellStyle name="Normal 118 3 2 5" xfId="9912"/>
    <cellStyle name="Normal 118 3 3" xfId="1425"/>
    <cellStyle name="Normal 118 3 3 2" xfId="2801"/>
    <cellStyle name="Normal 118 3 3 2 2" xfId="7318"/>
    <cellStyle name="Normal 118 3 3 2 2 2" xfId="16359"/>
    <cellStyle name="Normal 118 3 3 2 3" xfId="11846"/>
    <cellStyle name="Normal 118 3 3 3" xfId="5948"/>
    <cellStyle name="Normal 118 3 3 3 2" xfId="14989"/>
    <cellStyle name="Normal 118 3 3 4" xfId="10476"/>
    <cellStyle name="Normal 118 3 4" xfId="2798"/>
    <cellStyle name="Normal 118 3 4 2" xfId="7315"/>
    <cellStyle name="Normal 118 3 4 2 2" xfId="16356"/>
    <cellStyle name="Normal 118 3 4 3" xfId="11843"/>
    <cellStyle name="Normal 118 3 5" xfId="4820"/>
    <cellStyle name="Normal 118 3 5 2" xfId="13861"/>
    <cellStyle name="Normal 118 3 6" xfId="9348"/>
    <cellStyle name="Normal 118 4" xfId="443"/>
    <cellStyle name="Normal 118 4 2" xfId="1007"/>
    <cellStyle name="Normal 118 4 2 2" xfId="2177"/>
    <cellStyle name="Normal 118 4 2 2 2" xfId="2804"/>
    <cellStyle name="Normal 118 4 2 2 2 2" xfId="7321"/>
    <cellStyle name="Normal 118 4 2 2 2 2 2" xfId="16362"/>
    <cellStyle name="Normal 118 4 2 2 2 3" xfId="11849"/>
    <cellStyle name="Normal 118 4 2 2 3" xfId="6700"/>
    <cellStyle name="Normal 118 4 2 2 3 2" xfId="15741"/>
    <cellStyle name="Normal 118 4 2 2 4" xfId="11228"/>
    <cellStyle name="Normal 118 4 2 3" xfId="2803"/>
    <cellStyle name="Normal 118 4 2 3 2" xfId="7320"/>
    <cellStyle name="Normal 118 4 2 3 2 2" xfId="16361"/>
    <cellStyle name="Normal 118 4 2 3 3" xfId="11848"/>
    <cellStyle name="Normal 118 4 2 4" xfId="5572"/>
    <cellStyle name="Normal 118 4 2 4 2" xfId="14613"/>
    <cellStyle name="Normal 118 4 2 5" xfId="10100"/>
    <cellStyle name="Normal 118 4 3" xfId="1613"/>
    <cellStyle name="Normal 118 4 3 2" xfId="2805"/>
    <cellStyle name="Normal 118 4 3 2 2" xfId="7322"/>
    <cellStyle name="Normal 118 4 3 2 2 2" xfId="16363"/>
    <cellStyle name="Normal 118 4 3 2 3" xfId="11850"/>
    <cellStyle name="Normal 118 4 3 3" xfId="6136"/>
    <cellStyle name="Normal 118 4 3 3 2" xfId="15177"/>
    <cellStyle name="Normal 118 4 3 4" xfId="10664"/>
    <cellStyle name="Normal 118 4 4" xfId="2802"/>
    <cellStyle name="Normal 118 4 4 2" xfId="7319"/>
    <cellStyle name="Normal 118 4 4 2 2" xfId="16360"/>
    <cellStyle name="Normal 118 4 4 3" xfId="11847"/>
    <cellStyle name="Normal 118 4 5" xfId="5008"/>
    <cellStyle name="Normal 118 4 5 2" xfId="14049"/>
    <cellStyle name="Normal 118 4 6" xfId="9536"/>
    <cellStyle name="Normal 118 5" xfId="631"/>
    <cellStyle name="Normal 118 5 2" xfId="1801"/>
    <cellStyle name="Normal 118 5 2 2" xfId="2807"/>
    <cellStyle name="Normal 118 5 2 2 2" xfId="7324"/>
    <cellStyle name="Normal 118 5 2 2 2 2" xfId="16365"/>
    <cellStyle name="Normal 118 5 2 2 3" xfId="11852"/>
    <cellStyle name="Normal 118 5 2 3" xfId="6324"/>
    <cellStyle name="Normal 118 5 2 3 2" xfId="15365"/>
    <cellStyle name="Normal 118 5 2 4" xfId="10852"/>
    <cellStyle name="Normal 118 5 3" xfId="2806"/>
    <cellStyle name="Normal 118 5 3 2" xfId="7323"/>
    <cellStyle name="Normal 118 5 3 2 2" xfId="16364"/>
    <cellStyle name="Normal 118 5 3 3" xfId="11851"/>
    <cellStyle name="Normal 118 5 4" xfId="5196"/>
    <cellStyle name="Normal 118 5 4 2" xfId="14237"/>
    <cellStyle name="Normal 118 5 5" xfId="9724"/>
    <cellStyle name="Normal 118 6" xfId="1237"/>
    <cellStyle name="Normal 118 6 2" xfId="2808"/>
    <cellStyle name="Normal 118 6 2 2" xfId="7325"/>
    <cellStyle name="Normal 118 6 2 2 2" xfId="16366"/>
    <cellStyle name="Normal 118 6 2 3" xfId="11853"/>
    <cellStyle name="Normal 118 6 3" xfId="5760"/>
    <cellStyle name="Normal 118 6 3 2" xfId="14801"/>
    <cellStyle name="Normal 118 6 4" xfId="10288"/>
    <cellStyle name="Normal 118 7" xfId="2785"/>
    <cellStyle name="Normal 118 7 2" xfId="7302"/>
    <cellStyle name="Normal 118 7 2 2" xfId="16343"/>
    <cellStyle name="Normal 118 7 3" xfId="11830"/>
    <cellStyle name="Normal 118 8" xfId="4632"/>
    <cellStyle name="Normal 118 8 2" xfId="13673"/>
    <cellStyle name="Normal 118 9" xfId="9160"/>
    <cellStyle name="Normal 119" xfId="25"/>
    <cellStyle name="Normal 119 2" xfId="121"/>
    <cellStyle name="Normal 119 2 2" xfId="350"/>
    <cellStyle name="Normal 119 2 2 2" xfId="914"/>
    <cellStyle name="Normal 119 2 2 2 2" xfId="2084"/>
    <cellStyle name="Normal 119 2 2 2 2 2" xfId="2813"/>
    <cellStyle name="Normal 119 2 2 2 2 2 2" xfId="7330"/>
    <cellStyle name="Normal 119 2 2 2 2 2 2 2" xfId="16371"/>
    <cellStyle name="Normal 119 2 2 2 2 2 3" xfId="11858"/>
    <cellStyle name="Normal 119 2 2 2 2 3" xfId="6607"/>
    <cellStyle name="Normal 119 2 2 2 2 3 2" xfId="15648"/>
    <cellStyle name="Normal 119 2 2 2 2 4" xfId="11135"/>
    <cellStyle name="Normal 119 2 2 2 3" xfId="2812"/>
    <cellStyle name="Normal 119 2 2 2 3 2" xfId="7329"/>
    <cellStyle name="Normal 119 2 2 2 3 2 2" xfId="16370"/>
    <cellStyle name="Normal 119 2 2 2 3 3" xfId="11857"/>
    <cellStyle name="Normal 119 2 2 2 4" xfId="5479"/>
    <cellStyle name="Normal 119 2 2 2 4 2" xfId="14520"/>
    <cellStyle name="Normal 119 2 2 2 5" xfId="10007"/>
    <cellStyle name="Normal 119 2 2 3" xfId="1520"/>
    <cellStyle name="Normal 119 2 2 3 2" xfId="2814"/>
    <cellStyle name="Normal 119 2 2 3 2 2" xfId="7331"/>
    <cellStyle name="Normal 119 2 2 3 2 2 2" xfId="16372"/>
    <cellStyle name="Normal 119 2 2 3 2 3" xfId="11859"/>
    <cellStyle name="Normal 119 2 2 3 3" xfId="6043"/>
    <cellStyle name="Normal 119 2 2 3 3 2" xfId="15084"/>
    <cellStyle name="Normal 119 2 2 3 4" xfId="10571"/>
    <cellStyle name="Normal 119 2 2 4" xfId="2811"/>
    <cellStyle name="Normal 119 2 2 4 2" xfId="7328"/>
    <cellStyle name="Normal 119 2 2 4 2 2" xfId="16369"/>
    <cellStyle name="Normal 119 2 2 4 3" xfId="11856"/>
    <cellStyle name="Normal 119 2 2 5" xfId="4915"/>
    <cellStyle name="Normal 119 2 2 5 2" xfId="13956"/>
    <cellStyle name="Normal 119 2 2 6" xfId="9443"/>
    <cellStyle name="Normal 119 2 3" xfId="538"/>
    <cellStyle name="Normal 119 2 3 2" xfId="1102"/>
    <cellStyle name="Normal 119 2 3 2 2" xfId="2272"/>
    <cellStyle name="Normal 119 2 3 2 2 2" xfId="2817"/>
    <cellStyle name="Normal 119 2 3 2 2 2 2" xfId="7334"/>
    <cellStyle name="Normal 119 2 3 2 2 2 2 2" xfId="16375"/>
    <cellStyle name="Normal 119 2 3 2 2 2 3" xfId="11862"/>
    <cellStyle name="Normal 119 2 3 2 2 3" xfId="6795"/>
    <cellStyle name="Normal 119 2 3 2 2 3 2" xfId="15836"/>
    <cellStyle name="Normal 119 2 3 2 2 4" xfId="11323"/>
    <cellStyle name="Normal 119 2 3 2 3" xfId="2816"/>
    <cellStyle name="Normal 119 2 3 2 3 2" xfId="7333"/>
    <cellStyle name="Normal 119 2 3 2 3 2 2" xfId="16374"/>
    <cellStyle name="Normal 119 2 3 2 3 3" xfId="11861"/>
    <cellStyle name="Normal 119 2 3 2 4" xfId="5667"/>
    <cellStyle name="Normal 119 2 3 2 4 2" xfId="14708"/>
    <cellStyle name="Normal 119 2 3 2 5" xfId="10195"/>
    <cellStyle name="Normal 119 2 3 3" xfId="1708"/>
    <cellStyle name="Normal 119 2 3 3 2" xfId="2818"/>
    <cellStyle name="Normal 119 2 3 3 2 2" xfId="7335"/>
    <cellStyle name="Normal 119 2 3 3 2 2 2" xfId="16376"/>
    <cellStyle name="Normal 119 2 3 3 2 3" xfId="11863"/>
    <cellStyle name="Normal 119 2 3 3 3" xfId="6231"/>
    <cellStyle name="Normal 119 2 3 3 3 2" xfId="15272"/>
    <cellStyle name="Normal 119 2 3 3 4" xfId="10759"/>
    <cellStyle name="Normal 119 2 3 4" xfId="2815"/>
    <cellStyle name="Normal 119 2 3 4 2" xfId="7332"/>
    <cellStyle name="Normal 119 2 3 4 2 2" xfId="16373"/>
    <cellStyle name="Normal 119 2 3 4 3" xfId="11860"/>
    <cellStyle name="Normal 119 2 3 5" xfId="5103"/>
    <cellStyle name="Normal 119 2 3 5 2" xfId="14144"/>
    <cellStyle name="Normal 119 2 3 6" xfId="9631"/>
    <cellStyle name="Normal 119 2 4" xfId="726"/>
    <cellStyle name="Normal 119 2 4 2" xfId="1896"/>
    <cellStyle name="Normal 119 2 4 2 2" xfId="2820"/>
    <cellStyle name="Normal 119 2 4 2 2 2" xfId="7337"/>
    <cellStyle name="Normal 119 2 4 2 2 2 2" xfId="16378"/>
    <cellStyle name="Normal 119 2 4 2 2 3" xfId="11865"/>
    <cellStyle name="Normal 119 2 4 2 3" xfId="6419"/>
    <cellStyle name="Normal 119 2 4 2 3 2" xfId="15460"/>
    <cellStyle name="Normal 119 2 4 2 4" xfId="10947"/>
    <cellStyle name="Normal 119 2 4 3" xfId="2819"/>
    <cellStyle name="Normal 119 2 4 3 2" xfId="7336"/>
    <cellStyle name="Normal 119 2 4 3 2 2" xfId="16377"/>
    <cellStyle name="Normal 119 2 4 3 3" xfId="11864"/>
    <cellStyle name="Normal 119 2 4 4" xfId="5291"/>
    <cellStyle name="Normal 119 2 4 4 2" xfId="14332"/>
    <cellStyle name="Normal 119 2 4 5" xfId="9819"/>
    <cellStyle name="Normal 119 2 5" xfId="1332"/>
    <cellStyle name="Normal 119 2 5 2" xfId="2821"/>
    <cellStyle name="Normal 119 2 5 2 2" xfId="7338"/>
    <cellStyle name="Normal 119 2 5 2 2 2" xfId="16379"/>
    <cellStyle name="Normal 119 2 5 2 3" xfId="11866"/>
    <cellStyle name="Normal 119 2 5 3" xfId="5855"/>
    <cellStyle name="Normal 119 2 5 3 2" xfId="14896"/>
    <cellStyle name="Normal 119 2 5 4" xfId="10383"/>
    <cellStyle name="Normal 119 2 6" xfId="2810"/>
    <cellStyle name="Normal 119 2 6 2" xfId="7327"/>
    <cellStyle name="Normal 119 2 6 2 2" xfId="16368"/>
    <cellStyle name="Normal 119 2 6 3" xfId="11855"/>
    <cellStyle name="Normal 119 2 7" xfId="4727"/>
    <cellStyle name="Normal 119 2 7 2" xfId="13768"/>
    <cellStyle name="Normal 119 2 8" xfId="9255"/>
    <cellStyle name="Normal 119 3" xfId="256"/>
    <cellStyle name="Normal 119 3 2" xfId="820"/>
    <cellStyle name="Normal 119 3 2 2" xfId="1990"/>
    <cellStyle name="Normal 119 3 2 2 2" xfId="2824"/>
    <cellStyle name="Normal 119 3 2 2 2 2" xfId="7341"/>
    <cellStyle name="Normal 119 3 2 2 2 2 2" xfId="16382"/>
    <cellStyle name="Normal 119 3 2 2 2 3" xfId="11869"/>
    <cellStyle name="Normal 119 3 2 2 3" xfId="6513"/>
    <cellStyle name="Normal 119 3 2 2 3 2" xfId="15554"/>
    <cellStyle name="Normal 119 3 2 2 4" xfId="11041"/>
    <cellStyle name="Normal 119 3 2 3" xfId="2823"/>
    <cellStyle name="Normal 119 3 2 3 2" xfId="7340"/>
    <cellStyle name="Normal 119 3 2 3 2 2" xfId="16381"/>
    <cellStyle name="Normal 119 3 2 3 3" xfId="11868"/>
    <cellStyle name="Normal 119 3 2 4" xfId="5385"/>
    <cellStyle name="Normal 119 3 2 4 2" xfId="14426"/>
    <cellStyle name="Normal 119 3 2 5" xfId="9913"/>
    <cellStyle name="Normal 119 3 3" xfId="1426"/>
    <cellStyle name="Normal 119 3 3 2" xfId="2825"/>
    <cellStyle name="Normal 119 3 3 2 2" xfId="7342"/>
    <cellStyle name="Normal 119 3 3 2 2 2" xfId="16383"/>
    <cellStyle name="Normal 119 3 3 2 3" xfId="11870"/>
    <cellStyle name="Normal 119 3 3 3" xfId="5949"/>
    <cellStyle name="Normal 119 3 3 3 2" xfId="14990"/>
    <cellStyle name="Normal 119 3 3 4" xfId="10477"/>
    <cellStyle name="Normal 119 3 4" xfId="2822"/>
    <cellStyle name="Normal 119 3 4 2" xfId="7339"/>
    <cellStyle name="Normal 119 3 4 2 2" xfId="16380"/>
    <cellStyle name="Normal 119 3 4 3" xfId="11867"/>
    <cellStyle name="Normal 119 3 5" xfId="4821"/>
    <cellStyle name="Normal 119 3 5 2" xfId="13862"/>
    <cellStyle name="Normal 119 3 6" xfId="9349"/>
    <cellStyle name="Normal 119 4" xfId="444"/>
    <cellStyle name="Normal 119 4 2" xfId="1008"/>
    <cellStyle name="Normal 119 4 2 2" xfId="2178"/>
    <cellStyle name="Normal 119 4 2 2 2" xfId="2828"/>
    <cellStyle name="Normal 119 4 2 2 2 2" xfId="7345"/>
    <cellStyle name="Normal 119 4 2 2 2 2 2" xfId="16386"/>
    <cellStyle name="Normal 119 4 2 2 2 3" xfId="11873"/>
    <cellStyle name="Normal 119 4 2 2 3" xfId="6701"/>
    <cellStyle name="Normal 119 4 2 2 3 2" xfId="15742"/>
    <cellStyle name="Normal 119 4 2 2 4" xfId="11229"/>
    <cellStyle name="Normal 119 4 2 3" xfId="2827"/>
    <cellStyle name="Normal 119 4 2 3 2" xfId="7344"/>
    <cellStyle name="Normal 119 4 2 3 2 2" xfId="16385"/>
    <cellStyle name="Normal 119 4 2 3 3" xfId="11872"/>
    <cellStyle name="Normal 119 4 2 4" xfId="5573"/>
    <cellStyle name="Normal 119 4 2 4 2" xfId="14614"/>
    <cellStyle name="Normal 119 4 2 5" xfId="10101"/>
    <cellStyle name="Normal 119 4 3" xfId="1614"/>
    <cellStyle name="Normal 119 4 3 2" xfId="2829"/>
    <cellStyle name="Normal 119 4 3 2 2" xfId="7346"/>
    <cellStyle name="Normal 119 4 3 2 2 2" xfId="16387"/>
    <cellStyle name="Normal 119 4 3 2 3" xfId="11874"/>
    <cellStyle name="Normal 119 4 3 3" xfId="6137"/>
    <cellStyle name="Normal 119 4 3 3 2" xfId="15178"/>
    <cellStyle name="Normal 119 4 3 4" xfId="10665"/>
    <cellStyle name="Normal 119 4 4" xfId="2826"/>
    <cellStyle name="Normal 119 4 4 2" xfId="7343"/>
    <cellStyle name="Normal 119 4 4 2 2" xfId="16384"/>
    <cellStyle name="Normal 119 4 4 3" xfId="11871"/>
    <cellStyle name="Normal 119 4 5" xfId="5009"/>
    <cellStyle name="Normal 119 4 5 2" xfId="14050"/>
    <cellStyle name="Normal 119 4 6" xfId="9537"/>
    <cellStyle name="Normal 119 5" xfId="632"/>
    <cellStyle name="Normal 119 5 2" xfId="1802"/>
    <cellStyle name="Normal 119 5 2 2" xfId="2831"/>
    <cellStyle name="Normal 119 5 2 2 2" xfId="7348"/>
    <cellStyle name="Normal 119 5 2 2 2 2" xfId="16389"/>
    <cellStyle name="Normal 119 5 2 2 3" xfId="11876"/>
    <cellStyle name="Normal 119 5 2 3" xfId="6325"/>
    <cellStyle name="Normal 119 5 2 3 2" xfId="15366"/>
    <cellStyle name="Normal 119 5 2 4" xfId="10853"/>
    <cellStyle name="Normal 119 5 3" xfId="2830"/>
    <cellStyle name="Normal 119 5 3 2" xfId="7347"/>
    <cellStyle name="Normal 119 5 3 2 2" xfId="16388"/>
    <cellStyle name="Normal 119 5 3 3" xfId="11875"/>
    <cellStyle name="Normal 119 5 4" xfId="5197"/>
    <cellStyle name="Normal 119 5 4 2" xfId="14238"/>
    <cellStyle name="Normal 119 5 5" xfId="9725"/>
    <cellStyle name="Normal 119 6" xfId="1238"/>
    <cellStyle name="Normal 119 6 2" xfId="2832"/>
    <cellStyle name="Normal 119 6 2 2" xfId="7349"/>
    <cellStyle name="Normal 119 6 2 2 2" xfId="16390"/>
    <cellStyle name="Normal 119 6 2 3" xfId="11877"/>
    <cellStyle name="Normal 119 6 3" xfId="5761"/>
    <cellStyle name="Normal 119 6 3 2" xfId="14802"/>
    <cellStyle name="Normal 119 6 4" xfId="10289"/>
    <cellStyle name="Normal 119 7" xfId="2809"/>
    <cellStyle name="Normal 119 7 2" xfId="7326"/>
    <cellStyle name="Normal 119 7 2 2" xfId="16367"/>
    <cellStyle name="Normal 119 7 3" xfId="11854"/>
    <cellStyle name="Normal 119 8" xfId="4633"/>
    <cellStyle name="Normal 119 8 2" xfId="13674"/>
    <cellStyle name="Normal 119 9" xfId="9161"/>
    <cellStyle name="Normal 120" xfId="26"/>
    <cellStyle name="Normal 120 2" xfId="122"/>
    <cellStyle name="Normal 120 2 2" xfId="351"/>
    <cellStyle name="Normal 120 2 2 2" xfId="915"/>
    <cellStyle name="Normal 120 2 2 2 2" xfId="2085"/>
    <cellStyle name="Normal 120 2 2 2 2 2" xfId="2837"/>
    <cellStyle name="Normal 120 2 2 2 2 2 2" xfId="7354"/>
    <cellStyle name="Normal 120 2 2 2 2 2 2 2" xfId="16395"/>
    <cellStyle name="Normal 120 2 2 2 2 2 3" xfId="11882"/>
    <cellStyle name="Normal 120 2 2 2 2 3" xfId="6608"/>
    <cellStyle name="Normal 120 2 2 2 2 3 2" xfId="15649"/>
    <cellStyle name="Normal 120 2 2 2 2 4" xfId="11136"/>
    <cellStyle name="Normal 120 2 2 2 3" xfId="2836"/>
    <cellStyle name="Normal 120 2 2 2 3 2" xfId="7353"/>
    <cellStyle name="Normal 120 2 2 2 3 2 2" xfId="16394"/>
    <cellStyle name="Normal 120 2 2 2 3 3" xfId="11881"/>
    <cellStyle name="Normal 120 2 2 2 4" xfId="5480"/>
    <cellStyle name="Normal 120 2 2 2 4 2" xfId="14521"/>
    <cellStyle name="Normal 120 2 2 2 5" xfId="10008"/>
    <cellStyle name="Normal 120 2 2 3" xfId="1521"/>
    <cellStyle name="Normal 120 2 2 3 2" xfId="2838"/>
    <cellStyle name="Normal 120 2 2 3 2 2" xfId="7355"/>
    <cellStyle name="Normal 120 2 2 3 2 2 2" xfId="16396"/>
    <cellStyle name="Normal 120 2 2 3 2 3" xfId="11883"/>
    <cellStyle name="Normal 120 2 2 3 3" xfId="6044"/>
    <cellStyle name="Normal 120 2 2 3 3 2" xfId="15085"/>
    <cellStyle name="Normal 120 2 2 3 4" xfId="10572"/>
    <cellStyle name="Normal 120 2 2 4" xfId="2835"/>
    <cellStyle name="Normal 120 2 2 4 2" xfId="7352"/>
    <cellStyle name="Normal 120 2 2 4 2 2" xfId="16393"/>
    <cellStyle name="Normal 120 2 2 4 3" xfId="11880"/>
    <cellStyle name="Normal 120 2 2 5" xfId="4916"/>
    <cellStyle name="Normal 120 2 2 5 2" xfId="13957"/>
    <cellStyle name="Normal 120 2 2 6" xfId="9444"/>
    <cellStyle name="Normal 120 2 3" xfId="539"/>
    <cellStyle name="Normal 120 2 3 2" xfId="1103"/>
    <cellStyle name="Normal 120 2 3 2 2" xfId="2273"/>
    <cellStyle name="Normal 120 2 3 2 2 2" xfId="2841"/>
    <cellStyle name="Normal 120 2 3 2 2 2 2" xfId="7358"/>
    <cellStyle name="Normal 120 2 3 2 2 2 2 2" xfId="16399"/>
    <cellStyle name="Normal 120 2 3 2 2 2 3" xfId="11886"/>
    <cellStyle name="Normal 120 2 3 2 2 3" xfId="6796"/>
    <cellStyle name="Normal 120 2 3 2 2 3 2" xfId="15837"/>
    <cellStyle name="Normal 120 2 3 2 2 4" xfId="11324"/>
    <cellStyle name="Normal 120 2 3 2 3" xfId="2840"/>
    <cellStyle name="Normal 120 2 3 2 3 2" xfId="7357"/>
    <cellStyle name="Normal 120 2 3 2 3 2 2" xfId="16398"/>
    <cellStyle name="Normal 120 2 3 2 3 3" xfId="11885"/>
    <cellStyle name="Normal 120 2 3 2 4" xfId="5668"/>
    <cellStyle name="Normal 120 2 3 2 4 2" xfId="14709"/>
    <cellStyle name="Normal 120 2 3 2 5" xfId="10196"/>
    <cellStyle name="Normal 120 2 3 3" xfId="1709"/>
    <cellStyle name="Normal 120 2 3 3 2" xfId="2842"/>
    <cellStyle name="Normal 120 2 3 3 2 2" xfId="7359"/>
    <cellStyle name="Normal 120 2 3 3 2 2 2" xfId="16400"/>
    <cellStyle name="Normal 120 2 3 3 2 3" xfId="11887"/>
    <cellStyle name="Normal 120 2 3 3 3" xfId="6232"/>
    <cellStyle name="Normal 120 2 3 3 3 2" xfId="15273"/>
    <cellStyle name="Normal 120 2 3 3 4" xfId="10760"/>
    <cellStyle name="Normal 120 2 3 4" xfId="2839"/>
    <cellStyle name="Normal 120 2 3 4 2" xfId="7356"/>
    <cellStyle name="Normal 120 2 3 4 2 2" xfId="16397"/>
    <cellStyle name="Normal 120 2 3 4 3" xfId="11884"/>
    <cellStyle name="Normal 120 2 3 5" xfId="5104"/>
    <cellStyle name="Normal 120 2 3 5 2" xfId="14145"/>
    <cellStyle name="Normal 120 2 3 6" xfId="9632"/>
    <cellStyle name="Normal 120 2 4" xfId="727"/>
    <cellStyle name="Normal 120 2 4 2" xfId="1897"/>
    <cellStyle name="Normal 120 2 4 2 2" xfId="2844"/>
    <cellStyle name="Normal 120 2 4 2 2 2" xfId="7361"/>
    <cellStyle name="Normal 120 2 4 2 2 2 2" xfId="16402"/>
    <cellStyle name="Normal 120 2 4 2 2 3" xfId="11889"/>
    <cellStyle name="Normal 120 2 4 2 3" xfId="6420"/>
    <cellStyle name="Normal 120 2 4 2 3 2" xfId="15461"/>
    <cellStyle name="Normal 120 2 4 2 4" xfId="10948"/>
    <cellStyle name="Normal 120 2 4 3" xfId="2843"/>
    <cellStyle name="Normal 120 2 4 3 2" xfId="7360"/>
    <cellStyle name="Normal 120 2 4 3 2 2" xfId="16401"/>
    <cellStyle name="Normal 120 2 4 3 3" xfId="11888"/>
    <cellStyle name="Normal 120 2 4 4" xfId="5292"/>
    <cellStyle name="Normal 120 2 4 4 2" xfId="14333"/>
    <cellStyle name="Normal 120 2 4 5" xfId="9820"/>
    <cellStyle name="Normal 120 2 5" xfId="1333"/>
    <cellStyle name="Normal 120 2 5 2" xfId="2845"/>
    <cellStyle name="Normal 120 2 5 2 2" xfId="7362"/>
    <cellStyle name="Normal 120 2 5 2 2 2" xfId="16403"/>
    <cellStyle name="Normal 120 2 5 2 3" xfId="11890"/>
    <cellStyle name="Normal 120 2 5 3" xfId="5856"/>
    <cellStyle name="Normal 120 2 5 3 2" xfId="14897"/>
    <cellStyle name="Normal 120 2 5 4" xfId="10384"/>
    <cellStyle name="Normal 120 2 6" xfId="2834"/>
    <cellStyle name="Normal 120 2 6 2" xfId="7351"/>
    <cellStyle name="Normal 120 2 6 2 2" xfId="16392"/>
    <cellStyle name="Normal 120 2 6 3" xfId="11879"/>
    <cellStyle name="Normal 120 2 7" xfId="4728"/>
    <cellStyle name="Normal 120 2 7 2" xfId="13769"/>
    <cellStyle name="Normal 120 2 8" xfId="9256"/>
    <cellStyle name="Normal 120 3" xfId="257"/>
    <cellStyle name="Normal 120 3 2" xfId="821"/>
    <cellStyle name="Normal 120 3 2 2" xfId="1991"/>
    <cellStyle name="Normal 120 3 2 2 2" xfId="2848"/>
    <cellStyle name="Normal 120 3 2 2 2 2" xfId="7365"/>
    <cellStyle name="Normal 120 3 2 2 2 2 2" xfId="16406"/>
    <cellStyle name="Normal 120 3 2 2 2 3" xfId="11893"/>
    <cellStyle name="Normal 120 3 2 2 3" xfId="6514"/>
    <cellStyle name="Normal 120 3 2 2 3 2" xfId="15555"/>
    <cellStyle name="Normal 120 3 2 2 4" xfId="11042"/>
    <cellStyle name="Normal 120 3 2 3" xfId="2847"/>
    <cellStyle name="Normal 120 3 2 3 2" xfId="7364"/>
    <cellStyle name="Normal 120 3 2 3 2 2" xfId="16405"/>
    <cellStyle name="Normal 120 3 2 3 3" xfId="11892"/>
    <cellStyle name="Normal 120 3 2 4" xfId="5386"/>
    <cellStyle name="Normal 120 3 2 4 2" xfId="14427"/>
    <cellStyle name="Normal 120 3 2 5" xfId="9914"/>
    <cellStyle name="Normal 120 3 3" xfId="1427"/>
    <cellStyle name="Normal 120 3 3 2" xfId="2849"/>
    <cellStyle name="Normal 120 3 3 2 2" xfId="7366"/>
    <cellStyle name="Normal 120 3 3 2 2 2" xfId="16407"/>
    <cellStyle name="Normal 120 3 3 2 3" xfId="11894"/>
    <cellStyle name="Normal 120 3 3 3" xfId="5950"/>
    <cellStyle name="Normal 120 3 3 3 2" xfId="14991"/>
    <cellStyle name="Normal 120 3 3 4" xfId="10478"/>
    <cellStyle name="Normal 120 3 4" xfId="2846"/>
    <cellStyle name="Normal 120 3 4 2" xfId="7363"/>
    <cellStyle name="Normal 120 3 4 2 2" xfId="16404"/>
    <cellStyle name="Normal 120 3 4 3" xfId="11891"/>
    <cellStyle name="Normal 120 3 5" xfId="4822"/>
    <cellStyle name="Normal 120 3 5 2" xfId="13863"/>
    <cellStyle name="Normal 120 3 6" xfId="9350"/>
    <cellStyle name="Normal 120 4" xfId="445"/>
    <cellStyle name="Normal 120 4 2" xfId="1009"/>
    <cellStyle name="Normal 120 4 2 2" xfId="2179"/>
    <cellStyle name="Normal 120 4 2 2 2" xfId="2852"/>
    <cellStyle name="Normal 120 4 2 2 2 2" xfId="7369"/>
    <cellStyle name="Normal 120 4 2 2 2 2 2" xfId="16410"/>
    <cellStyle name="Normal 120 4 2 2 2 3" xfId="11897"/>
    <cellStyle name="Normal 120 4 2 2 3" xfId="6702"/>
    <cellStyle name="Normal 120 4 2 2 3 2" xfId="15743"/>
    <cellStyle name="Normal 120 4 2 2 4" xfId="11230"/>
    <cellStyle name="Normal 120 4 2 3" xfId="2851"/>
    <cellStyle name="Normal 120 4 2 3 2" xfId="7368"/>
    <cellStyle name="Normal 120 4 2 3 2 2" xfId="16409"/>
    <cellStyle name="Normal 120 4 2 3 3" xfId="11896"/>
    <cellStyle name="Normal 120 4 2 4" xfId="5574"/>
    <cellStyle name="Normal 120 4 2 4 2" xfId="14615"/>
    <cellStyle name="Normal 120 4 2 5" xfId="10102"/>
    <cellStyle name="Normal 120 4 3" xfId="1615"/>
    <cellStyle name="Normal 120 4 3 2" xfId="2853"/>
    <cellStyle name="Normal 120 4 3 2 2" xfId="7370"/>
    <cellStyle name="Normal 120 4 3 2 2 2" xfId="16411"/>
    <cellStyle name="Normal 120 4 3 2 3" xfId="11898"/>
    <cellStyle name="Normal 120 4 3 3" xfId="6138"/>
    <cellStyle name="Normal 120 4 3 3 2" xfId="15179"/>
    <cellStyle name="Normal 120 4 3 4" xfId="10666"/>
    <cellStyle name="Normal 120 4 4" xfId="2850"/>
    <cellStyle name="Normal 120 4 4 2" xfId="7367"/>
    <cellStyle name="Normal 120 4 4 2 2" xfId="16408"/>
    <cellStyle name="Normal 120 4 4 3" xfId="11895"/>
    <cellStyle name="Normal 120 4 5" xfId="5010"/>
    <cellStyle name="Normal 120 4 5 2" xfId="14051"/>
    <cellStyle name="Normal 120 4 6" xfId="9538"/>
    <cellStyle name="Normal 120 5" xfId="633"/>
    <cellStyle name="Normal 120 5 2" xfId="1803"/>
    <cellStyle name="Normal 120 5 2 2" xfId="2855"/>
    <cellStyle name="Normal 120 5 2 2 2" xfId="7372"/>
    <cellStyle name="Normal 120 5 2 2 2 2" xfId="16413"/>
    <cellStyle name="Normal 120 5 2 2 3" xfId="11900"/>
    <cellStyle name="Normal 120 5 2 3" xfId="6326"/>
    <cellStyle name="Normal 120 5 2 3 2" xfId="15367"/>
    <cellStyle name="Normal 120 5 2 4" xfId="10854"/>
    <cellStyle name="Normal 120 5 3" xfId="2854"/>
    <cellStyle name="Normal 120 5 3 2" xfId="7371"/>
    <cellStyle name="Normal 120 5 3 2 2" xfId="16412"/>
    <cellStyle name="Normal 120 5 3 3" xfId="11899"/>
    <cellStyle name="Normal 120 5 4" xfId="5198"/>
    <cellStyle name="Normal 120 5 4 2" xfId="14239"/>
    <cellStyle name="Normal 120 5 5" xfId="9726"/>
    <cellStyle name="Normal 120 6" xfId="1239"/>
    <cellStyle name="Normal 120 6 2" xfId="2856"/>
    <cellStyle name="Normal 120 6 2 2" xfId="7373"/>
    <cellStyle name="Normal 120 6 2 2 2" xfId="16414"/>
    <cellStyle name="Normal 120 6 2 3" xfId="11901"/>
    <cellStyle name="Normal 120 6 3" xfId="5762"/>
    <cellStyle name="Normal 120 6 3 2" xfId="14803"/>
    <cellStyle name="Normal 120 6 4" xfId="10290"/>
    <cellStyle name="Normal 120 7" xfId="2833"/>
    <cellStyle name="Normal 120 7 2" xfId="7350"/>
    <cellStyle name="Normal 120 7 2 2" xfId="16391"/>
    <cellStyle name="Normal 120 7 3" xfId="11878"/>
    <cellStyle name="Normal 120 8" xfId="4634"/>
    <cellStyle name="Normal 120 8 2" xfId="13675"/>
    <cellStyle name="Normal 120 9" xfId="9162"/>
    <cellStyle name="Normal 121" xfId="27"/>
    <cellStyle name="Normal 121 2" xfId="123"/>
    <cellStyle name="Normal 121 2 2" xfId="352"/>
    <cellStyle name="Normal 121 2 2 2" xfId="916"/>
    <cellStyle name="Normal 121 2 2 2 2" xfId="2086"/>
    <cellStyle name="Normal 121 2 2 2 2 2" xfId="2861"/>
    <cellStyle name="Normal 121 2 2 2 2 2 2" xfId="7378"/>
    <cellStyle name="Normal 121 2 2 2 2 2 2 2" xfId="16419"/>
    <cellStyle name="Normal 121 2 2 2 2 2 3" xfId="11906"/>
    <cellStyle name="Normal 121 2 2 2 2 3" xfId="6609"/>
    <cellStyle name="Normal 121 2 2 2 2 3 2" xfId="15650"/>
    <cellStyle name="Normal 121 2 2 2 2 4" xfId="11137"/>
    <cellStyle name="Normal 121 2 2 2 3" xfId="2860"/>
    <cellStyle name="Normal 121 2 2 2 3 2" xfId="7377"/>
    <cellStyle name="Normal 121 2 2 2 3 2 2" xfId="16418"/>
    <cellStyle name="Normal 121 2 2 2 3 3" xfId="11905"/>
    <cellStyle name="Normal 121 2 2 2 4" xfId="5481"/>
    <cellStyle name="Normal 121 2 2 2 4 2" xfId="14522"/>
    <cellStyle name="Normal 121 2 2 2 5" xfId="10009"/>
    <cellStyle name="Normal 121 2 2 3" xfId="1522"/>
    <cellStyle name="Normal 121 2 2 3 2" xfId="2862"/>
    <cellStyle name="Normal 121 2 2 3 2 2" xfId="7379"/>
    <cellStyle name="Normal 121 2 2 3 2 2 2" xfId="16420"/>
    <cellStyle name="Normal 121 2 2 3 2 3" xfId="11907"/>
    <cellStyle name="Normal 121 2 2 3 3" xfId="6045"/>
    <cellStyle name="Normal 121 2 2 3 3 2" xfId="15086"/>
    <cellStyle name="Normal 121 2 2 3 4" xfId="10573"/>
    <cellStyle name="Normal 121 2 2 4" xfId="2859"/>
    <cellStyle name="Normal 121 2 2 4 2" xfId="7376"/>
    <cellStyle name="Normal 121 2 2 4 2 2" xfId="16417"/>
    <cellStyle name="Normal 121 2 2 4 3" xfId="11904"/>
    <cellStyle name="Normal 121 2 2 5" xfId="4917"/>
    <cellStyle name="Normal 121 2 2 5 2" xfId="13958"/>
    <cellStyle name="Normal 121 2 2 6" xfId="9445"/>
    <cellStyle name="Normal 121 2 3" xfId="540"/>
    <cellStyle name="Normal 121 2 3 2" xfId="1104"/>
    <cellStyle name="Normal 121 2 3 2 2" xfId="2274"/>
    <cellStyle name="Normal 121 2 3 2 2 2" xfId="2865"/>
    <cellStyle name="Normal 121 2 3 2 2 2 2" xfId="7382"/>
    <cellStyle name="Normal 121 2 3 2 2 2 2 2" xfId="16423"/>
    <cellStyle name="Normal 121 2 3 2 2 2 3" xfId="11910"/>
    <cellStyle name="Normal 121 2 3 2 2 3" xfId="6797"/>
    <cellStyle name="Normal 121 2 3 2 2 3 2" xfId="15838"/>
    <cellStyle name="Normal 121 2 3 2 2 4" xfId="11325"/>
    <cellStyle name="Normal 121 2 3 2 3" xfId="2864"/>
    <cellStyle name="Normal 121 2 3 2 3 2" xfId="7381"/>
    <cellStyle name="Normal 121 2 3 2 3 2 2" xfId="16422"/>
    <cellStyle name="Normal 121 2 3 2 3 3" xfId="11909"/>
    <cellStyle name="Normal 121 2 3 2 4" xfId="5669"/>
    <cellStyle name="Normal 121 2 3 2 4 2" xfId="14710"/>
    <cellStyle name="Normal 121 2 3 2 5" xfId="10197"/>
    <cellStyle name="Normal 121 2 3 3" xfId="1710"/>
    <cellStyle name="Normal 121 2 3 3 2" xfId="2866"/>
    <cellStyle name="Normal 121 2 3 3 2 2" xfId="7383"/>
    <cellStyle name="Normal 121 2 3 3 2 2 2" xfId="16424"/>
    <cellStyle name="Normal 121 2 3 3 2 3" xfId="11911"/>
    <cellStyle name="Normal 121 2 3 3 3" xfId="6233"/>
    <cellStyle name="Normal 121 2 3 3 3 2" xfId="15274"/>
    <cellStyle name="Normal 121 2 3 3 4" xfId="10761"/>
    <cellStyle name="Normal 121 2 3 4" xfId="2863"/>
    <cellStyle name="Normal 121 2 3 4 2" xfId="7380"/>
    <cellStyle name="Normal 121 2 3 4 2 2" xfId="16421"/>
    <cellStyle name="Normal 121 2 3 4 3" xfId="11908"/>
    <cellStyle name="Normal 121 2 3 5" xfId="5105"/>
    <cellStyle name="Normal 121 2 3 5 2" xfId="14146"/>
    <cellStyle name="Normal 121 2 3 6" xfId="9633"/>
    <cellStyle name="Normal 121 2 4" xfId="728"/>
    <cellStyle name="Normal 121 2 4 2" xfId="1898"/>
    <cellStyle name="Normal 121 2 4 2 2" xfId="2868"/>
    <cellStyle name="Normal 121 2 4 2 2 2" xfId="7385"/>
    <cellStyle name="Normal 121 2 4 2 2 2 2" xfId="16426"/>
    <cellStyle name="Normal 121 2 4 2 2 3" xfId="11913"/>
    <cellStyle name="Normal 121 2 4 2 3" xfId="6421"/>
    <cellStyle name="Normal 121 2 4 2 3 2" xfId="15462"/>
    <cellStyle name="Normal 121 2 4 2 4" xfId="10949"/>
    <cellStyle name="Normal 121 2 4 3" xfId="2867"/>
    <cellStyle name="Normal 121 2 4 3 2" xfId="7384"/>
    <cellStyle name="Normal 121 2 4 3 2 2" xfId="16425"/>
    <cellStyle name="Normal 121 2 4 3 3" xfId="11912"/>
    <cellStyle name="Normal 121 2 4 4" xfId="5293"/>
    <cellStyle name="Normal 121 2 4 4 2" xfId="14334"/>
    <cellStyle name="Normal 121 2 4 5" xfId="9821"/>
    <cellStyle name="Normal 121 2 5" xfId="1334"/>
    <cellStyle name="Normal 121 2 5 2" xfId="2869"/>
    <cellStyle name="Normal 121 2 5 2 2" xfId="7386"/>
    <cellStyle name="Normal 121 2 5 2 2 2" xfId="16427"/>
    <cellStyle name="Normal 121 2 5 2 3" xfId="11914"/>
    <cellStyle name="Normal 121 2 5 3" xfId="5857"/>
    <cellStyle name="Normal 121 2 5 3 2" xfId="14898"/>
    <cellStyle name="Normal 121 2 5 4" xfId="10385"/>
    <cellStyle name="Normal 121 2 6" xfId="2858"/>
    <cellStyle name="Normal 121 2 6 2" xfId="7375"/>
    <cellStyle name="Normal 121 2 6 2 2" xfId="16416"/>
    <cellStyle name="Normal 121 2 6 3" xfId="11903"/>
    <cellStyle name="Normal 121 2 7" xfId="4729"/>
    <cellStyle name="Normal 121 2 7 2" xfId="13770"/>
    <cellStyle name="Normal 121 2 8" xfId="9257"/>
    <cellStyle name="Normal 121 3" xfId="258"/>
    <cellStyle name="Normal 121 3 2" xfId="822"/>
    <cellStyle name="Normal 121 3 2 2" xfId="1992"/>
    <cellStyle name="Normal 121 3 2 2 2" xfId="2872"/>
    <cellStyle name="Normal 121 3 2 2 2 2" xfId="7389"/>
    <cellStyle name="Normal 121 3 2 2 2 2 2" xfId="16430"/>
    <cellStyle name="Normal 121 3 2 2 2 3" xfId="11917"/>
    <cellStyle name="Normal 121 3 2 2 3" xfId="6515"/>
    <cellStyle name="Normal 121 3 2 2 3 2" xfId="15556"/>
    <cellStyle name="Normal 121 3 2 2 4" xfId="11043"/>
    <cellStyle name="Normal 121 3 2 3" xfId="2871"/>
    <cellStyle name="Normal 121 3 2 3 2" xfId="7388"/>
    <cellStyle name="Normal 121 3 2 3 2 2" xfId="16429"/>
    <cellStyle name="Normal 121 3 2 3 3" xfId="11916"/>
    <cellStyle name="Normal 121 3 2 4" xfId="5387"/>
    <cellStyle name="Normal 121 3 2 4 2" xfId="14428"/>
    <cellStyle name="Normal 121 3 2 5" xfId="9915"/>
    <cellStyle name="Normal 121 3 3" xfId="1428"/>
    <cellStyle name="Normal 121 3 3 2" xfId="2873"/>
    <cellStyle name="Normal 121 3 3 2 2" xfId="7390"/>
    <cellStyle name="Normal 121 3 3 2 2 2" xfId="16431"/>
    <cellStyle name="Normal 121 3 3 2 3" xfId="11918"/>
    <cellStyle name="Normal 121 3 3 3" xfId="5951"/>
    <cellStyle name="Normal 121 3 3 3 2" xfId="14992"/>
    <cellStyle name="Normal 121 3 3 4" xfId="10479"/>
    <cellStyle name="Normal 121 3 4" xfId="2870"/>
    <cellStyle name="Normal 121 3 4 2" xfId="7387"/>
    <cellStyle name="Normal 121 3 4 2 2" xfId="16428"/>
    <cellStyle name="Normal 121 3 4 3" xfId="11915"/>
    <cellStyle name="Normal 121 3 5" xfId="4823"/>
    <cellStyle name="Normal 121 3 5 2" xfId="13864"/>
    <cellStyle name="Normal 121 3 6" xfId="9351"/>
    <cellStyle name="Normal 121 4" xfId="446"/>
    <cellStyle name="Normal 121 4 2" xfId="1010"/>
    <cellStyle name="Normal 121 4 2 2" xfId="2180"/>
    <cellStyle name="Normal 121 4 2 2 2" xfId="2876"/>
    <cellStyle name="Normal 121 4 2 2 2 2" xfId="7393"/>
    <cellStyle name="Normal 121 4 2 2 2 2 2" xfId="16434"/>
    <cellStyle name="Normal 121 4 2 2 2 3" xfId="11921"/>
    <cellStyle name="Normal 121 4 2 2 3" xfId="6703"/>
    <cellStyle name="Normal 121 4 2 2 3 2" xfId="15744"/>
    <cellStyle name="Normal 121 4 2 2 4" xfId="11231"/>
    <cellStyle name="Normal 121 4 2 3" xfId="2875"/>
    <cellStyle name="Normal 121 4 2 3 2" xfId="7392"/>
    <cellStyle name="Normal 121 4 2 3 2 2" xfId="16433"/>
    <cellStyle name="Normal 121 4 2 3 3" xfId="11920"/>
    <cellStyle name="Normal 121 4 2 4" xfId="5575"/>
    <cellStyle name="Normal 121 4 2 4 2" xfId="14616"/>
    <cellStyle name="Normal 121 4 2 5" xfId="10103"/>
    <cellStyle name="Normal 121 4 3" xfId="1616"/>
    <cellStyle name="Normal 121 4 3 2" xfId="2877"/>
    <cellStyle name="Normal 121 4 3 2 2" xfId="7394"/>
    <cellStyle name="Normal 121 4 3 2 2 2" xfId="16435"/>
    <cellStyle name="Normal 121 4 3 2 3" xfId="11922"/>
    <cellStyle name="Normal 121 4 3 3" xfId="6139"/>
    <cellStyle name="Normal 121 4 3 3 2" xfId="15180"/>
    <cellStyle name="Normal 121 4 3 4" xfId="10667"/>
    <cellStyle name="Normal 121 4 4" xfId="2874"/>
    <cellStyle name="Normal 121 4 4 2" xfId="7391"/>
    <cellStyle name="Normal 121 4 4 2 2" xfId="16432"/>
    <cellStyle name="Normal 121 4 4 3" xfId="11919"/>
    <cellStyle name="Normal 121 4 5" xfId="5011"/>
    <cellStyle name="Normal 121 4 5 2" xfId="14052"/>
    <cellStyle name="Normal 121 4 6" xfId="9539"/>
    <cellStyle name="Normal 121 5" xfId="634"/>
    <cellStyle name="Normal 121 5 2" xfId="1804"/>
    <cellStyle name="Normal 121 5 2 2" xfId="2879"/>
    <cellStyle name="Normal 121 5 2 2 2" xfId="7396"/>
    <cellStyle name="Normal 121 5 2 2 2 2" xfId="16437"/>
    <cellStyle name="Normal 121 5 2 2 3" xfId="11924"/>
    <cellStyle name="Normal 121 5 2 3" xfId="6327"/>
    <cellStyle name="Normal 121 5 2 3 2" xfId="15368"/>
    <cellStyle name="Normal 121 5 2 4" xfId="10855"/>
    <cellStyle name="Normal 121 5 3" xfId="2878"/>
    <cellStyle name="Normal 121 5 3 2" xfId="7395"/>
    <cellStyle name="Normal 121 5 3 2 2" xfId="16436"/>
    <cellStyle name="Normal 121 5 3 3" xfId="11923"/>
    <cellStyle name="Normal 121 5 4" xfId="5199"/>
    <cellStyle name="Normal 121 5 4 2" xfId="14240"/>
    <cellStyle name="Normal 121 5 5" xfId="9727"/>
    <cellStyle name="Normal 121 6" xfId="1240"/>
    <cellStyle name="Normal 121 6 2" xfId="2880"/>
    <cellStyle name="Normal 121 6 2 2" xfId="7397"/>
    <cellStyle name="Normal 121 6 2 2 2" xfId="16438"/>
    <cellStyle name="Normal 121 6 2 3" xfId="11925"/>
    <cellStyle name="Normal 121 6 3" xfId="5763"/>
    <cellStyle name="Normal 121 6 3 2" xfId="14804"/>
    <cellStyle name="Normal 121 6 4" xfId="10291"/>
    <cellStyle name="Normal 121 7" xfId="2857"/>
    <cellStyle name="Normal 121 7 2" xfId="7374"/>
    <cellStyle name="Normal 121 7 2 2" xfId="16415"/>
    <cellStyle name="Normal 121 7 3" xfId="11902"/>
    <cellStyle name="Normal 121 8" xfId="4635"/>
    <cellStyle name="Normal 121 8 2" xfId="13676"/>
    <cellStyle name="Normal 121 9" xfId="9163"/>
    <cellStyle name="Normal 122" xfId="28"/>
    <cellStyle name="Normal 122 2" xfId="124"/>
    <cellStyle name="Normal 122 2 2" xfId="353"/>
    <cellStyle name="Normal 122 2 2 2" xfId="917"/>
    <cellStyle name="Normal 122 2 2 2 2" xfId="2087"/>
    <cellStyle name="Normal 122 2 2 2 2 2" xfId="2885"/>
    <cellStyle name="Normal 122 2 2 2 2 2 2" xfId="7402"/>
    <cellStyle name="Normal 122 2 2 2 2 2 2 2" xfId="16443"/>
    <cellStyle name="Normal 122 2 2 2 2 2 3" xfId="11930"/>
    <cellStyle name="Normal 122 2 2 2 2 3" xfId="6610"/>
    <cellStyle name="Normal 122 2 2 2 2 3 2" xfId="15651"/>
    <cellStyle name="Normal 122 2 2 2 2 4" xfId="11138"/>
    <cellStyle name="Normal 122 2 2 2 3" xfId="2884"/>
    <cellStyle name="Normal 122 2 2 2 3 2" xfId="7401"/>
    <cellStyle name="Normal 122 2 2 2 3 2 2" xfId="16442"/>
    <cellStyle name="Normal 122 2 2 2 3 3" xfId="11929"/>
    <cellStyle name="Normal 122 2 2 2 4" xfId="5482"/>
    <cellStyle name="Normal 122 2 2 2 4 2" xfId="14523"/>
    <cellStyle name="Normal 122 2 2 2 5" xfId="10010"/>
    <cellStyle name="Normal 122 2 2 3" xfId="1523"/>
    <cellStyle name="Normal 122 2 2 3 2" xfId="2886"/>
    <cellStyle name="Normal 122 2 2 3 2 2" xfId="7403"/>
    <cellStyle name="Normal 122 2 2 3 2 2 2" xfId="16444"/>
    <cellStyle name="Normal 122 2 2 3 2 3" xfId="11931"/>
    <cellStyle name="Normal 122 2 2 3 3" xfId="6046"/>
    <cellStyle name="Normal 122 2 2 3 3 2" xfId="15087"/>
    <cellStyle name="Normal 122 2 2 3 4" xfId="10574"/>
    <cellStyle name="Normal 122 2 2 4" xfId="2883"/>
    <cellStyle name="Normal 122 2 2 4 2" xfId="7400"/>
    <cellStyle name="Normal 122 2 2 4 2 2" xfId="16441"/>
    <cellStyle name="Normal 122 2 2 4 3" xfId="11928"/>
    <cellStyle name="Normal 122 2 2 5" xfId="4918"/>
    <cellStyle name="Normal 122 2 2 5 2" xfId="13959"/>
    <cellStyle name="Normal 122 2 2 6" xfId="9446"/>
    <cellStyle name="Normal 122 2 3" xfId="541"/>
    <cellStyle name="Normal 122 2 3 2" xfId="1105"/>
    <cellStyle name="Normal 122 2 3 2 2" xfId="2275"/>
    <cellStyle name="Normal 122 2 3 2 2 2" xfId="2889"/>
    <cellStyle name="Normal 122 2 3 2 2 2 2" xfId="7406"/>
    <cellStyle name="Normal 122 2 3 2 2 2 2 2" xfId="16447"/>
    <cellStyle name="Normal 122 2 3 2 2 2 3" xfId="11934"/>
    <cellStyle name="Normal 122 2 3 2 2 3" xfId="6798"/>
    <cellStyle name="Normal 122 2 3 2 2 3 2" xfId="15839"/>
    <cellStyle name="Normal 122 2 3 2 2 4" xfId="11326"/>
    <cellStyle name="Normal 122 2 3 2 3" xfId="2888"/>
    <cellStyle name="Normal 122 2 3 2 3 2" xfId="7405"/>
    <cellStyle name="Normal 122 2 3 2 3 2 2" xfId="16446"/>
    <cellStyle name="Normal 122 2 3 2 3 3" xfId="11933"/>
    <cellStyle name="Normal 122 2 3 2 4" xfId="5670"/>
    <cellStyle name="Normal 122 2 3 2 4 2" xfId="14711"/>
    <cellStyle name="Normal 122 2 3 2 5" xfId="10198"/>
    <cellStyle name="Normal 122 2 3 3" xfId="1711"/>
    <cellStyle name="Normal 122 2 3 3 2" xfId="2890"/>
    <cellStyle name="Normal 122 2 3 3 2 2" xfId="7407"/>
    <cellStyle name="Normal 122 2 3 3 2 2 2" xfId="16448"/>
    <cellStyle name="Normal 122 2 3 3 2 3" xfId="11935"/>
    <cellStyle name="Normal 122 2 3 3 3" xfId="6234"/>
    <cellStyle name="Normal 122 2 3 3 3 2" xfId="15275"/>
    <cellStyle name="Normal 122 2 3 3 4" xfId="10762"/>
    <cellStyle name="Normal 122 2 3 4" xfId="2887"/>
    <cellStyle name="Normal 122 2 3 4 2" xfId="7404"/>
    <cellStyle name="Normal 122 2 3 4 2 2" xfId="16445"/>
    <cellStyle name="Normal 122 2 3 4 3" xfId="11932"/>
    <cellStyle name="Normal 122 2 3 5" xfId="5106"/>
    <cellStyle name="Normal 122 2 3 5 2" xfId="14147"/>
    <cellStyle name="Normal 122 2 3 6" xfId="9634"/>
    <cellStyle name="Normal 122 2 4" xfId="729"/>
    <cellStyle name="Normal 122 2 4 2" xfId="1899"/>
    <cellStyle name="Normal 122 2 4 2 2" xfId="2892"/>
    <cellStyle name="Normal 122 2 4 2 2 2" xfId="7409"/>
    <cellStyle name="Normal 122 2 4 2 2 2 2" xfId="16450"/>
    <cellStyle name="Normal 122 2 4 2 2 3" xfId="11937"/>
    <cellStyle name="Normal 122 2 4 2 3" xfId="6422"/>
    <cellStyle name="Normal 122 2 4 2 3 2" xfId="15463"/>
    <cellStyle name="Normal 122 2 4 2 4" xfId="10950"/>
    <cellStyle name="Normal 122 2 4 3" xfId="2891"/>
    <cellStyle name="Normal 122 2 4 3 2" xfId="7408"/>
    <cellStyle name="Normal 122 2 4 3 2 2" xfId="16449"/>
    <cellStyle name="Normal 122 2 4 3 3" xfId="11936"/>
    <cellStyle name="Normal 122 2 4 4" xfId="5294"/>
    <cellStyle name="Normal 122 2 4 4 2" xfId="14335"/>
    <cellStyle name="Normal 122 2 4 5" xfId="9822"/>
    <cellStyle name="Normal 122 2 5" xfId="1335"/>
    <cellStyle name="Normal 122 2 5 2" xfId="2893"/>
    <cellStyle name="Normal 122 2 5 2 2" xfId="7410"/>
    <cellStyle name="Normal 122 2 5 2 2 2" xfId="16451"/>
    <cellStyle name="Normal 122 2 5 2 3" xfId="11938"/>
    <cellStyle name="Normal 122 2 5 3" xfId="5858"/>
    <cellStyle name="Normal 122 2 5 3 2" xfId="14899"/>
    <cellStyle name="Normal 122 2 5 4" xfId="10386"/>
    <cellStyle name="Normal 122 2 6" xfId="2882"/>
    <cellStyle name="Normal 122 2 6 2" xfId="7399"/>
    <cellStyle name="Normal 122 2 6 2 2" xfId="16440"/>
    <cellStyle name="Normal 122 2 6 3" xfId="11927"/>
    <cellStyle name="Normal 122 2 7" xfId="4730"/>
    <cellStyle name="Normal 122 2 7 2" xfId="13771"/>
    <cellStyle name="Normal 122 2 8" xfId="9258"/>
    <cellStyle name="Normal 122 3" xfId="259"/>
    <cellStyle name="Normal 122 3 2" xfId="823"/>
    <cellStyle name="Normal 122 3 2 2" xfId="1993"/>
    <cellStyle name="Normal 122 3 2 2 2" xfId="2896"/>
    <cellStyle name="Normal 122 3 2 2 2 2" xfId="7413"/>
    <cellStyle name="Normal 122 3 2 2 2 2 2" xfId="16454"/>
    <cellStyle name="Normal 122 3 2 2 2 3" xfId="11941"/>
    <cellStyle name="Normal 122 3 2 2 3" xfId="6516"/>
    <cellStyle name="Normal 122 3 2 2 3 2" xfId="15557"/>
    <cellStyle name="Normal 122 3 2 2 4" xfId="11044"/>
    <cellStyle name="Normal 122 3 2 3" xfId="2895"/>
    <cellStyle name="Normal 122 3 2 3 2" xfId="7412"/>
    <cellStyle name="Normal 122 3 2 3 2 2" xfId="16453"/>
    <cellStyle name="Normal 122 3 2 3 3" xfId="11940"/>
    <cellStyle name="Normal 122 3 2 4" xfId="5388"/>
    <cellStyle name="Normal 122 3 2 4 2" xfId="14429"/>
    <cellStyle name="Normal 122 3 2 5" xfId="9916"/>
    <cellStyle name="Normal 122 3 3" xfId="1429"/>
    <cellStyle name="Normal 122 3 3 2" xfId="2897"/>
    <cellStyle name="Normal 122 3 3 2 2" xfId="7414"/>
    <cellStyle name="Normal 122 3 3 2 2 2" xfId="16455"/>
    <cellStyle name="Normal 122 3 3 2 3" xfId="11942"/>
    <cellStyle name="Normal 122 3 3 3" xfId="5952"/>
    <cellStyle name="Normal 122 3 3 3 2" xfId="14993"/>
    <cellStyle name="Normal 122 3 3 4" xfId="10480"/>
    <cellStyle name="Normal 122 3 4" xfId="2894"/>
    <cellStyle name="Normal 122 3 4 2" xfId="7411"/>
    <cellStyle name="Normal 122 3 4 2 2" xfId="16452"/>
    <cellStyle name="Normal 122 3 4 3" xfId="11939"/>
    <cellStyle name="Normal 122 3 5" xfId="4824"/>
    <cellStyle name="Normal 122 3 5 2" xfId="13865"/>
    <cellStyle name="Normal 122 3 6" xfId="9352"/>
    <cellStyle name="Normal 122 4" xfId="447"/>
    <cellStyle name="Normal 122 4 2" xfId="1011"/>
    <cellStyle name="Normal 122 4 2 2" xfId="2181"/>
    <cellStyle name="Normal 122 4 2 2 2" xfId="2900"/>
    <cellStyle name="Normal 122 4 2 2 2 2" xfId="7417"/>
    <cellStyle name="Normal 122 4 2 2 2 2 2" xfId="16458"/>
    <cellStyle name="Normal 122 4 2 2 2 3" xfId="11945"/>
    <cellStyle name="Normal 122 4 2 2 3" xfId="6704"/>
    <cellStyle name="Normal 122 4 2 2 3 2" xfId="15745"/>
    <cellStyle name="Normal 122 4 2 2 4" xfId="11232"/>
    <cellStyle name="Normal 122 4 2 3" xfId="2899"/>
    <cellStyle name="Normal 122 4 2 3 2" xfId="7416"/>
    <cellStyle name="Normal 122 4 2 3 2 2" xfId="16457"/>
    <cellStyle name="Normal 122 4 2 3 3" xfId="11944"/>
    <cellStyle name="Normal 122 4 2 4" xfId="5576"/>
    <cellStyle name="Normal 122 4 2 4 2" xfId="14617"/>
    <cellStyle name="Normal 122 4 2 5" xfId="10104"/>
    <cellStyle name="Normal 122 4 3" xfId="1617"/>
    <cellStyle name="Normal 122 4 3 2" xfId="2901"/>
    <cellStyle name="Normal 122 4 3 2 2" xfId="7418"/>
    <cellStyle name="Normal 122 4 3 2 2 2" xfId="16459"/>
    <cellStyle name="Normal 122 4 3 2 3" xfId="11946"/>
    <cellStyle name="Normal 122 4 3 3" xfId="6140"/>
    <cellStyle name="Normal 122 4 3 3 2" xfId="15181"/>
    <cellStyle name="Normal 122 4 3 4" xfId="10668"/>
    <cellStyle name="Normal 122 4 4" xfId="2898"/>
    <cellStyle name="Normal 122 4 4 2" xfId="7415"/>
    <cellStyle name="Normal 122 4 4 2 2" xfId="16456"/>
    <cellStyle name="Normal 122 4 4 3" xfId="11943"/>
    <cellStyle name="Normal 122 4 5" xfId="5012"/>
    <cellStyle name="Normal 122 4 5 2" xfId="14053"/>
    <cellStyle name="Normal 122 4 6" xfId="9540"/>
    <cellStyle name="Normal 122 5" xfId="635"/>
    <cellStyle name="Normal 122 5 2" xfId="1805"/>
    <cellStyle name="Normal 122 5 2 2" xfId="2903"/>
    <cellStyle name="Normal 122 5 2 2 2" xfId="7420"/>
    <cellStyle name="Normal 122 5 2 2 2 2" xfId="16461"/>
    <cellStyle name="Normal 122 5 2 2 3" xfId="11948"/>
    <cellStyle name="Normal 122 5 2 3" xfId="6328"/>
    <cellStyle name="Normal 122 5 2 3 2" xfId="15369"/>
    <cellStyle name="Normal 122 5 2 4" xfId="10856"/>
    <cellStyle name="Normal 122 5 3" xfId="2902"/>
    <cellStyle name="Normal 122 5 3 2" xfId="7419"/>
    <cellStyle name="Normal 122 5 3 2 2" xfId="16460"/>
    <cellStyle name="Normal 122 5 3 3" xfId="11947"/>
    <cellStyle name="Normal 122 5 4" xfId="5200"/>
    <cellStyle name="Normal 122 5 4 2" xfId="14241"/>
    <cellStyle name="Normal 122 5 5" xfId="9728"/>
    <cellStyle name="Normal 122 6" xfId="1241"/>
    <cellStyle name="Normal 122 6 2" xfId="2904"/>
    <cellStyle name="Normal 122 6 2 2" xfId="7421"/>
    <cellStyle name="Normal 122 6 2 2 2" xfId="16462"/>
    <cellStyle name="Normal 122 6 2 3" xfId="11949"/>
    <cellStyle name="Normal 122 6 3" xfId="5764"/>
    <cellStyle name="Normal 122 6 3 2" xfId="14805"/>
    <cellStyle name="Normal 122 6 4" xfId="10292"/>
    <cellStyle name="Normal 122 7" xfId="2881"/>
    <cellStyle name="Normal 122 7 2" xfId="7398"/>
    <cellStyle name="Normal 122 7 2 2" xfId="16439"/>
    <cellStyle name="Normal 122 7 3" xfId="11926"/>
    <cellStyle name="Normal 122 8" xfId="4636"/>
    <cellStyle name="Normal 122 8 2" xfId="13677"/>
    <cellStyle name="Normal 122 9" xfId="9164"/>
    <cellStyle name="Normal 123" xfId="29"/>
    <cellStyle name="Normal 123 2" xfId="125"/>
    <cellStyle name="Normal 123 2 2" xfId="354"/>
    <cellStyle name="Normal 123 2 2 2" xfId="918"/>
    <cellStyle name="Normal 123 2 2 2 2" xfId="2088"/>
    <cellStyle name="Normal 123 2 2 2 2 2" xfId="2909"/>
    <cellStyle name="Normal 123 2 2 2 2 2 2" xfId="7426"/>
    <cellStyle name="Normal 123 2 2 2 2 2 2 2" xfId="16467"/>
    <cellStyle name="Normal 123 2 2 2 2 2 3" xfId="11954"/>
    <cellStyle name="Normal 123 2 2 2 2 3" xfId="6611"/>
    <cellStyle name="Normal 123 2 2 2 2 3 2" xfId="15652"/>
    <cellStyle name="Normal 123 2 2 2 2 4" xfId="11139"/>
    <cellStyle name="Normal 123 2 2 2 3" xfId="2908"/>
    <cellStyle name="Normal 123 2 2 2 3 2" xfId="7425"/>
    <cellStyle name="Normal 123 2 2 2 3 2 2" xfId="16466"/>
    <cellStyle name="Normal 123 2 2 2 3 3" xfId="11953"/>
    <cellStyle name="Normal 123 2 2 2 4" xfId="5483"/>
    <cellStyle name="Normal 123 2 2 2 4 2" xfId="14524"/>
    <cellStyle name="Normal 123 2 2 2 5" xfId="10011"/>
    <cellStyle name="Normal 123 2 2 3" xfId="1524"/>
    <cellStyle name="Normal 123 2 2 3 2" xfId="2910"/>
    <cellStyle name="Normal 123 2 2 3 2 2" xfId="7427"/>
    <cellStyle name="Normal 123 2 2 3 2 2 2" xfId="16468"/>
    <cellStyle name="Normal 123 2 2 3 2 3" xfId="11955"/>
    <cellStyle name="Normal 123 2 2 3 3" xfId="6047"/>
    <cellStyle name="Normal 123 2 2 3 3 2" xfId="15088"/>
    <cellStyle name="Normal 123 2 2 3 4" xfId="10575"/>
    <cellStyle name="Normal 123 2 2 4" xfId="2907"/>
    <cellStyle name="Normal 123 2 2 4 2" xfId="7424"/>
    <cellStyle name="Normal 123 2 2 4 2 2" xfId="16465"/>
    <cellStyle name="Normal 123 2 2 4 3" xfId="11952"/>
    <cellStyle name="Normal 123 2 2 5" xfId="4919"/>
    <cellStyle name="Normal 123 2 2 5 2" xfId="13960"/>
    <cellStyle name="Normal 123 2 2 6" xfId="9447"/>
    <cellStyle name="Normal 123 2 3" xfId="542"/>
    <cellStyle name="Normal 123 2 3 2" xfId="1106"/>
    <cellStyle name="Normal 123 2 3 2 2" xfId="2276"/>
    <cellStyle name="Normal 123 2 3 2 2 2" xfId="2913"/>
    <cellStyle name="Normal 123 2 3 2 2 2 2" xfId="7430"/>
    <cellStyle name="Normal 123 2 3 2 2 2 2 2" xfId="16471"/>
    <cellStyle name="Normal 123 2 3 2 2 2 3" xfId="11958"/>
    <cellStyle name="Normal 123 2 3 2 2 3" xfId="6799"/>
    <cellStyle name="Normal 123 2 3 2 2 3 2" xfId="15840"/>
    <cellStyle name="Normal 123 2 3 2 2 4" xfId="11327"/>
    <cellStyle name="Normal 123 2 3 2 3" xfId="2912"/>
    <cellStyle name="Normal 123 2 3 2 3 2" xfId="7429"/>
    <cellStyle name="Normal 123 2 3 2 3 2 2" xfId="16470"/>
    <cellStyle name="Normal 123 2 3 2 3 3" xfId="11957"/>
    <cellStyle name="Normal 123 2 3 2 4" xfId="5671"/>
    <cellStyle name="Normal 123 2 3 2 4 2" xfId="14712"/>
    <cellStyle name="Normal 123 2 3 2 5" xfId="10199"/>
    <cellStyle name="Normal 123 2 3 3" xfId="1712"/>
    <cellStyle name="Normal 123 2 3 3 2" xfId="2914"/>
    <cellStyle name="Normal 123 2 3 3 2 2" xfId="7431"/>
    <cellStyle name="Normal 123 2 3 3 2 2 2" xfId="16472"/>
    <cellStyle name="Normal 123 2 3 3 2 3" xfId="11959"/>
    <cellStyle name="Normal 123 2 3 3 3" xfId="6235"/>
    <cellStyle name="Normal 123 2 3 3 3 2" xfId="15276"/>
    <cellStyle name="Normal 123 2 3 3 4" xfId="10763"/>
    <cellStyle name="Normal 123 2 3 4" xfId="2911"/>
    <cellStyle name="Normal 123 2 3 4 2" xfId="7428"/>
    <cellStyle name="Normal 123 2 3 4 2 2" xfId="16469"/>
    <cellStyle name="Normal 123 2 3 4 3" xfId="11956"/>
    <cellStyle name="Normal 123 2 3 5" xfId="5107"/>
    <cellStyle name="Normal 123 2 3 5 2" xfId="14148"/>
    <cellStyle name="Normal 123 2 3 6" xfId="9635"/>
    <cellStyle name="Normal 123 2 4" xfId="730"/>
    <cellStyle name="Normal 123 2 4 2" xfId="1900"/>
    <cellStyle name="Normal 123 2 4 2 2" xfId="2916"/>
    <cellStyle name="Normal 123 2 4 2 2 2" xfId="7433"/>
    <cellStyle name="Normal 123 2 4 2 2 2 2" xfId="16474"/>
    <cellStyle name="Normal 123 2 4 2 2 3" xfId="11961"/>
    <cellStyle name="Normal 123 2 4 2 3" xfId="6423"/>
    <cellStyle name="Normal 123 2 4 2 3 2" xfId="15464"/>
    <cellStyle name="Normal 123 2 4 2 4" xfId="10951"/>
    <cellStyle name="Normal 123 2 4 3" xfId="2915"/>
    <cellStyle name="Normal 123 2 4 3 2" xfId="7432"/>
    <cellStyle name="Normal 123 2 4 3 2 2" xfId="16473"/>
    <cellStyle name="Normal 123 2 4 3 3" xfId="11960"/>
    <cellStyle name="Normal 123 2 4 4" xfId="5295"/>
    <cellStyle name="Normal 123 2 4 4 2" xfId="14336"/>
    <cellStyle name="Normal 123 2 4 5" xfId="9823"/>
    <cellStyle name="Normal 123 2 5" xfId="1336"/>
    <cellStyle name="Normal 123 2 5 2" xfId="2917"/>
    <cellStyle name="Normal 123 2 5 2 2" xfId="7434"/>
    <cellStyle name="Normal 123 2 5 2 2 2" xfId="16475"/>
    <cellStyle name="Normal 123 2 5 2 3" xfId="11962"/>
    <cellStyle name="Normal 123 2 5 3" xfId="5859"/>
    <cellStyle name="Normal 123 2 5 3 2" xfId="14900"/>
    <cellStyle name="Normal 123 2 5 4" xfId="10387"/>
    <cellStyle name="Normal 123 2 6" xfId="2906"/>
    <cellStyle name="Normal 123 2 6 2" xfId="7423"/>
    <cellStyle name="Normal 123 2 6 2 2" xfId="16464"/>
    <cellStyle name="Normal 123 2 6 3" xfId="11951"/>
    <cellStyle name="Normal 123 2 7" xfId="4731"/>
    <cellStyle name="Normal 123 2 7 2" xfId="13772"/>
    <cellStyle name="Normal 123 2 8" xfId="9259"/>
    <cellStyle name="Normal 123 3" xfId="260"/>
    <cellStyle name="Normal 123 3 2" xfId="824"/>
    <cellStyle name="Normal 123 3 2 2" xfId="1994"/>
    <cellStyle name="Normal 123 3 2 2 2" xfId="2920"/>
    <cellStyle name="Normal 123 3 2 2 2 2" xfId="7437"/>
    <cellStyle name="Normal 123 3 2 2 2 2 2" xfId="16478"/>
    <cellStyle name="Normal 123 3 2 2 2 3" xfId="11965"/>
    <cellStyle name="Normal 123 3 2 2 3" xfId="6517"/>
    <cellStyle name="Normal 123 3 2 2 3 2" xfId="15558"/>
    <cellStyle name="Normal 123 3 2 2 4" xfId="11045"/>
    <cellStyle name="Normal 123 3 2 3" xfId="2919"/>
    <cellStyle name="Normal 123 3 2 3 2" xfId="7436"/>
    <cellStyle name="Normal 123 3 2 3 2 2" xfId="16477"/>
    <cellStyle name="Normal 123 3 2 3 3" xfId="11964"/>
    <cellStyle name="Normal 123 3 2 4" xfId="5389"/>
    <cellStyle name="Normal 123 3 2 4 2" xfId="14430"/>
    <cellStyle name="Normal 123 3 2 5" xfId="9917"/>
    <cellStyle name="Normal 123 3 3" xfId="1430"/>
    <cellStyle name="Normal 123 3 3 2" xfId="2921"/>
    <cellStyle name="Normal 123 3 3 2 2" xfId="7438"/>
    <cellStyle name="Normal 123 3 3 2 2 2" xfId="16479"/>
    <cellStyle name="Normal 123 3 3 2 3" xfId="11966"/>
    <cellStyle name="Normal 123 3 3 3" xfId="5953"/>
    <cellStyle name="Normal 123 3 3 3 2" xfId="14994"/>
    <cellStyle name="Normal 123 3 3 4" xfId="10481"/>
    <cellStyle name="Normal 123 3 4" xfId="2918"/>
    <cellStyle name="Normal 123 3 4 2" xfId="7435"/>
    <cellStyle name="Normal 123 3 4 2 2" xfId="16476"/>
    <cellStyle name="Normal 123 3 4 3" xfId="11963"/>
    <cellStyle name="Normal 123 3 5" xfId="4825"/>
    <cellStyle name="Normal 123 3 5 2" xfId="13866"/>
    <cellStyle name="Normal 123 3 6" xfId="9353"/>
    <cellStyle name="Normal 123 4" xfId="448"/>
    <cellStyle name="Normal 123 4 2" xfId="1012"/>
    <cellStyle name="Normal 123 4 2 2" xfId="2182"/>
    <cellStyle name="Normal 123 4 2 2 2" xfId="2924"/>
    <cellStyle name="Normal 123 4 2 2 2 2" xfId="7441"/>
    <cellStyle name="Normal 123 4 2 2 2 2 2" xfId="16482"/>
    <cellStyle name="Normal 123 4 2 2 2 3" xfId="11969"/>
    <cellStyle name="Normal 123 4 2 2 3" xfId="6705"/>
    <cellStyle name="Normal 123 4 2 2 3 2" xfId="15746"/>
    <cellStyle name="Normal 123 4 2 2 4" xfId="11233"/>
    <cellStyle name="Normal 123 4 2 3" xfId="2923"/>
    <cellStyle name="Normal 123 4 2 3 2" xfId="7440"/>
    <cellStyle name="Normal 123 4 2 3 2 2" xfId="16481"/>
    <cellStyle name="Normal 123 4 2 3 3" xfId="11968"/>
    <cellStyle name="Normal 123 4 2 4" xfId="5577"/>
    <cellStyle name="Normal 123 4 2 4 2" xfId="14618"/>
    <cellStyle name="Normal 123 4 2 5" xfId="10105"/>
    <cellStyle name="Normal 123 4 3" xfId="1618"/>
    <cellStyle name="Normal 123 4 3 2" xfId="2925"/>
    <cellStyle name="Normal 123 4 3 2 2" xfId="7442"/>
    <cellStyle name="Normal 123 4 3 2 2 2" xfId="16483"/>
    <cellStyle name="Normal 123 4 3 2 3" xfId="11970"/>
    <cellStyle name="Normal 123 4 3 3" xfId="6141"/>
    <cellStyle name="Normal 123 4 3 3 2" xfId="15182"/>
    <cellStyle name="Normal 123 4 3 4" xfId="10669"/>
    <cellStyle name="Normal 123 4 4" xfId="2922"/>
    <cellStyle name="Normal 123 4 4 2" xfId="7439"/>
    <cellStyle name="Normal 123 4 4 2 2" xfId="16480"/>
    <cellStyle name="Normal 123 4 4 3" xfId="11967"/>
    <cellStyle name="Normal 123 4 5" xfId="5013"/>
    <cellStyle name="Normal 123 4 5 2" xfId="14054"/>
    <cellStyle name="Normal 123 4 6" xfId="9541"/>
    <cellStyle name="Normal 123 5" xfId="636"/>
    <cellStyle name="Normal 123 5 2" xfId="1806"/>
    <cellStyle name="Normal 123 5 2 2" xfId="2927"/>
    <cellStyle name="Normal 123 5 2 2 2" xfId="7444"/>
    <cellStyle name="Normal 123 5 2 2 2 2" xfId="16485"/>
    <cellStyle name="Normal 123 5 2 2 3" xfId="11972"/>
    <cellStyle name="Normal 123 5 2 3" xfId="6329"/>
    <cellStyle name="Normal 123 5 2 3 2" xfId="15370"/>
    <cellStyle name="Normal 123 5 2 4" xfId="10857"/>
    <cellStyle name="Normal 123 5 3" xfId="2926"/>
    <cellStyle name="Normal 123 5 3 2" xfId="7443"/>
    <cellStyle name="Normal 123 5 3 2 2" xfId="16484"/>
    <cellStyle name="Normal 123 5 3 3" xfId="11971"/>
    <cellStyle name="Normal 123 5 4" xfId="5201"/>
    <cellStyle name="Normal 123 5 4 2" xfId="14242"/>
    <cellStyle name="Normal 123 5 5" xfId="9729"/>
    <cellStyle name="Normal 123 6" xfId="1242"/>
    <cellStyle name="Normal 123 6 2" xfId="2928"/>
    <cellStyle name="Normal 123 6 2 2" xfId="7445"/>
    <cellStyle name="Normal 123 6 2 2 2" xfId="16486"/>
    <cellStyle name="Normal 123 6 2 3" xfId="11973"/>
    <cellStyle name="Normal 123 6 3" xfId="5765"/>
    <cellStyle name="Normal 123 6 3 2" xfId="14806"/>
    <cellStyle name="Normal 123 6 4" xfId="10293"/>
    <cellStyle name="Normal 123 7" xfId="2905"/>
    <cellStyle name="Normal 123 7 2" xfId="7422"/>
    <cellStyle name="Normal 123 7 2 2" xfId="16463"/>
    <cellStyle name="Normal 123 7 3" xfId="11950"/>
    <cellStyle name="Normal 123 8" xfId="4637"/>
    <cellStyle name="Normal 123 8 2" xfId="13678"/>
    <cellStyle name="Normal 123 9" xfId="9165"/>
    <cellStyle name="Normal 124" xfId="30"/>
    <cellStyle name="Normal 124 2" xfId="126"/>
    <cellStyle name="Normal 124 2 2" xfId="355"/>
    <cellStyle name="Normal 124 2 2 2" xfId="919"/>
    <cellStyle name="Normal 124 2 2 2 2" xfId="2089"/>
    <cellStyle name="Normal 124 2 2 2 2 2" xfId="2933"/>
    <cellStyle name="Normal 124 2 2 2 2 2 2" xfId="7450"/>
    <cellStyle name="Normal 124 2 2 2 2 2 2 2" xfId="16491"/>
    <cellStyle name="Normal 124 2 2 2 2 2 3" xfId="11978"/>
    <cellStyle name="Normal 124 2 2 2 2 3" xfId="6612"/>
    <cellStyle name="Normal 124 2 2 2 2 3 2" xfId="15653"/>
    <cellStyle name="Normal 124 2 2 2 2 4" xfId="11140"/>
    <cellStyle name="Normal 124 2 2 2 3" xfId="2932"/>
    <cellStyle name="Normal 124 2 2 2 3 2" xfId="7449"/>
    <cellStyle name="Normal 124 2 2 2 3 2 2" xfId="16490"/>
    <cellStyle name="Normal 124 2 2 2 3 3" xfId="11977"/>
    <cellStyle name="Normal 124 2 2 2 4" xfId="5484"/>
    <cellStyle name="Normal 124 2 2 2 4 2" xfId="14525"/>
    <cellStyle name="Normal 124 2 2 2 5" xfId="10012"/>
    <cellStyle name="Normal 124 2 2 3" xfId="1525"/>
    <cellStyle name="Normal 124 2 2 3 2" xfId="2934"/>
    <cellStyle name="Normal 124 2 2 3 2 2" xfId="7451"/>
    <cellStyle name="Normal 124 2 2 3 2 2 2" xfId="16492"/>
    <cellStyle name="Normal 124 2 2 3 2 3" xfId="11979"/>
    <cellStyle name="Normal 124 2 2 3 3" xfId="6048"/>
    <cellStyle name="Normal 124 2 2 3 3 2" xfId="15089"/>
    <cellStyle name="Normal 124 2 2 3 4" xfId="10576"/>
    <cellStyle name="Normal 124 2 2 4" xfId="2931"/>
    <cellStyle name="Normal 124 2 2 4 2" xfId="7448"/>
    <cellStyle name="Normal 124 2 2 4 2 2" xfId="16489"/>
    <cellStyle name="Normal 124 2 2 4 3" xfId="11976"/>
    <cellStyle name="Normal 124 2 2 5" xfId="4920"/>
    <cellStyle name="Normal 124 2 2 5 2" xfId="13961"/>
    <cellStyle name="Normal 124 2 2 6" xfId="9448"/>
    <cellStyle name="Normal 124 2 3" xfId="543"/>
    <cellStyle name="Normal 124 2 3 2" xfId="1107"/>
    <cellStyle name="Normal 124 2 3 2 2" xfId="2277"/>
    <cellStyle name="Normal 124 2 3 2 2 2" xfId="2937"/>
    <cellStyle name="Normal 124 2 3 2 2 2 2" xfId="7454"/>
    <cellStyle name="Normal 124 2 3 2 2 2 2 2" xfId="16495"/>
    <cellStyle name="Normal 124 2 3 2 2 2 3" xfId="11982"/>
    <cellStyle name="Normal 124 2 3 2 2 3" xfId="6800"/>
    <cellStyle name="Normal 124 2 3 2 2 3 2" xfId="15841"/>
    <cellStyle name="Normal 124 2 3 2 2 4" xfId="11328"/>
    <cellStyle name="Normal 124 2 3 2 3" xfId="2936"/>
    <cellStyle name="Normal 124 2 3 2 3 2" xfId="7453"/>
    <cellStyle name="Normal 124 2 3 2 3 2 2" xfId="16494"/>
    <cellStyle name="Normal 124 2 3 2 3 3" xfId="11981"/>
    <cellStyle name="Normal 124 2 3 2 4" xfId="5672"/>
    <cellStyle name="Normal 124 2 3 2 4 2" xfId="14713"/>
    <cellStyle name="Normal 124 2 3 2 5" xfId="10200"/>
    <cellStyle name="Normal 124 2 3 3" xfId="1713"/>
    <cellStyle name="Normal 124 2 3 3 2" xfId="2938"/>
    <cellStyle name="Normal 124 2 3 3 2 2" xfId="7455"/>
    <cellStyle name="Normal 124 2 3 3 2 2 2" xfId="16496"/>
    <cellStyle name="Normal 124 2 3 3 2 3" xfId="11983"/>
    <cellStyle name="Normal 124 2 3 3 3" xfId="6236"/>
    <cellStyle name="Normal 124 2 3 3 3 2" xfId="15277"/>
    <cellStyle name="Normal 124 2 3 3 4" xfId="10764"/>
    <cellStyle name="Normal 124 2 3 4" xfId="2935"/>
    <cellStyle name="Normal 124 2 3 4 2" xfId="7452"/>
    <cellStyle name="Normal 124 2 3 4 2 2" xfId="16493"/>
    <cellStyle name="Normal 124 2 3 4 3" xfId="11980"/>
    <cellStyle name="Normal 124 2 3 5" xfId="5108"/>
    <cellStyle name="Normal 124 2 3 5 2" xfId="14149"/>
    <cellStyle name="Normal 124 2 3 6" xfId="9636"/>
    <cellStyle name="Normal 124 2 4" xfId="731"/>
    <cellStyle name="Normal 124 2 4 2" xfId="1901"/>
    <cellStyle name="Normal 124 2 4 2 2" xfId="2940"/>
    <cellStyle name="Normal 124 2 4 2 2 2" xfId="7457"/>
    <cellStyle name="Normal 124 2 4 2 2 2 2" xfId="16498"/>
    <cellStyle name="Normal 124 2 4 2 2 3" xfId="11985"/>
    <cellStyle name="Normal 124 2 4 2 3" xfId="6424"/>
    <cellStyle name="Normal 124 2 4 2 3 2" xfId="15465"/>
    <cellStyle name="Normal 124 2 4 2 4" xfId="10952"/>
    <cellStyle name="Normal 124 2 4 3" xfId="2939"/>
    <cellStyle name="Normal 124 2 4 3 2" xfId="7456"/>
    <cellStyle name="Normal 124 2 4 3 2 2" xfId="16497"/>
    <cellStyle name="Normal 124 2 4 3 3" xfId="11984"/>
    <cellStyle name="Normal 124 2 4 4" xfId="5296"/>
    <cellStyle name="Normal 124 2 4 4 2" xfId="14337"/>
    <cellStyle name="Normal 124 2 4 5" xfId="9824"/>
    <cellStyle name="Normal 124 2 5" xfId="1337"/>
    <cellStyle name="Normal 124 2 5 2" xfId="2941"/>
    <cellStyle name="Normal 124 2 5 2 2" xfId="7458"/>
    <cellStyle name="Normal 124 2 5 2 2 2" xfId="16499"/>
    <cellStyle name="Normal 124 2 5 2 3" xfId="11986"/>
    <cellStyle name="Normal 124 2 5 3" xfId="5860"/>
    <cellStyle name="Normal 124 2 5 3 2" xfId="14901"/>
    <cellStyle name="Normal 124 2 5 4" xfId="10388"/>
    <cellStyle name="Normal 124 2 6" xfId="2930"/>
    <cellStyle name="Normal 124 2 6 2" xfId="7447"/>
    <cellStyle name="Normal 124 2 6 2 2" xfId="16488"/>
    <cellStyle name="Normal 124 2 6 3" xfId="11975"/>
    <cellStyle name="Normal 124 2 7" xfId="4732"/>
    <cellStyle name="Normal 124 2 7 2" xfId="13773"/>
    <cellStyle name="Normal 124 2 8" xfId="9260"/>
    <cellStyle name="Normal 124 3" xfId="261"/>
    <cellStyle name="Normal 124 3 2" xfId="825"/>
    <cellStyle name="Normal 124 3 2 2" xfId="1995"/>
    <cellStyle name="Normal 124 3 2 2 2" xfId="2944"/>
    <cellStyle name="Normal 124 3 2 2 2 2" xfId="7461"/>
    <cellStyle name="Normal 124 3 2 2 2 2 2" xfId="16502"/>
    <cellStyle name="Normal 124 3 2 2 2 3" xfId="11989"/>
    <cellStyle name="Normal 124 3 2 2 3" xfId="6518"/>
    <cellStyle name="Normal 124 3 2 2 3 2" xfId="15559"/>
    <cellStyle name="Normal 124 3 2 2 4" xfId="11046"/>
    <cellStyle name="Normal 124 3 2 3" xfId="2943"/>
    <cellStyle name="Normal 124 3 2 3 2" xfId="7460"/>
    <cellStyle name="Normal 124 3 2 3 2 2" xfId="16501"/>
    <cellStyle name="Normal 124 3 2 3 3" xfId="11988"/>
    <cellStyle name="Normal 124 3 2 4" xfId="5390"/>
    <cellStyle name="Normal 124 3 2 4 2" xfId="14431"/>
    <cellStyle name="Normal 124 3 2 5" xfId="9918"/>
    <cellStyle name="Normal 124 3 3" xfId="1431"/>
    <cellStyle name="Normal 124 3 3 2" xfId="2945"/>
    <cellStyle name="Normal 124 3 3 2 2" xfId="7462"/>
    <cellStyle name="Normal 124 3 3 2 2 2" xfId="16503"/>
    <cellStyle name="Normal 124 3 3 2 3" xfId="11990"/>
    <cellStyle name="Normal 124 3 3 3" xfId="5954"/>
    <cellStyle name="Normal 124 3 3 3 2" xfId="14995"/>
    <cellStyle name="Normal 124 3 3 4" xfId="10482"/>
    <cellStyle name="Normal 124 3 4" xfId="2942"/>
    <cellStyle name="Normal 124 3 4 2" xfId="7459"/>
    <cellStyle name="Normal 124 3 4 2 2" xfId="16500"/>
    <cellStyle name="Normal 124 3 4 3" xfId="11987"/>
    <cellStyle name="Normal 124 3 5" xfId="4826"/>
    <cellStyle name="Normal 124 3 5 2" xfId="13867"/>
    <cellStyle name="Normal 124 3 6" xfId="9354"/>
    <cellStyle name="Normal 124 4" xfId="449"/>
    <cellStyle name="Normal 124 4 2" xfId="1013"/>
    <cellStyle name="Normal 124 4 2 2" xfId="2183"/>
    <cellStyle name="Normal 124 4 2 2 2" xfId="2948"/>
    <cellStyle name="Normal 124 4 2 2 2 2" xfId="7465"/>
    <cellStyle name="Normal 124 4 2 2 2 2 2" xfId="16506"/>
    <cellStyle name="Normal 124 4 2 2 2 3" xfId="11993"/>
    <cellStyle name="Normal 124 4 2 2 3" xfId="6706"/>
    <cellStyle name="Normal 124 4 2 2 3 2" xfId="15747"/>
    <cellStyle name="Normal 124 4 2 2 4" xfId="11234"/>
    <cellStyle name="Normal 124 4 2 3" xfId="2947"/>
    <cellStyle name="Normal 124 4 2 3 2" xfId="7464"/>
    <cellStyle name="Normal 124 4 2 3 2 2" xfId="16505"/>
    <cellStyle name="Normal 124 4 2 3 3" xfId="11992"/>
    <cellStyle name="Normal 124 4 2 4" xfId="5578"/>
    <cellStyle name="Normal 124 4 2 4 2" xfId="14619"/>
    <cellStyle name="Normal 124 4 2 5" xfId="10106"/>
    <cellStyle name="Normal 124 4 3" xfId="1619"/>
    <cellStyle name="Normal 124 4 3 2" xfId="2949"/>
    <cellStyle name="Normal 124 4 3 2 2" xfId="7466"/>
    <cellStyle name="Normal 124 4 3 2 2 2" xfId="16507"/>
    <cellStyle name="Normal 124 4 3 2 3" xfId="11994"/>
    <cellStyle name="Normal 124 4 3 3" xfId="6142"/>
    <cellStyle name="Normal 124 4 3 3 2" xfId="15183"/>
    <cellStyle name="Normal 124 4 3 4" xfId="10670"/>
    <cellStyle name="Normal 124 4 4" xfId="2946"/>
    <cellStyle name="Normal 124 4 4 2" xfId="7463"/>
    <cellStyle name="Normal 124 4 4 2 2" xfId="16504"/>
    <cellStyle name="Normal 124 4 4 3" xfId="11991"/>
    <cellStyle name="Normal 124 4 5" xfId="5014"/>
    <cellStyle name="Normal 124 4 5 2" xfId="14055"/>
    <cellStyle name="Normal 124 4 6" xfId="9542"/>
    <cellStyle name="Normal 124 5" xfId="637"/>
    <cellStyle name="Normal 124 5 2" xfId="1807"/>
    <cellStyle name="Normal 124 5 2 2" xfId="2951"/>
    <cellStyle name="Normal 124 5 2 2 2" xfId="7468"/>
    <cellStyle name="Normal 124 5 2 2 2 2" xfId="16509"/>
    <cellStyle name="Normal 124 5 2 2 3" xfId="11996"/>
    <cellStyle name="Normal 124 5 2 3" xfId="6330"/>
    <cellStyle name="Normal 124 5 2 3 2" xfId="15371"/>
    <cellStyle name="Normal 124 5 2 4" xfId="10858"/>
    <cellStyle name="Normal 124 5 3" xfId="2950"/>
    <cellStyle name="Normal 124 5 3 2" xfId="7467"/>
    <cellStyle name="Normal 124 5 3 2 2" xfId="16508"/>
    <cellStyle name="Normal 124 5 3 3" xfId="11995"/>
    <cellStyle name="Normal 124 5 4" xfId="5202"/>
    <cellStyle name="Normal 124 5 4 2" xfId="14243"/>
    <cellStyle name="Normal 124 5 5" xfId="9730"/>
    <cellStyle name="Normal 124 6" xfId="1243"/>
    <cellStyle name="Normal 124 6 2" xfId="2952"/>
    <cellStyle name="Normal 124 6 2 2" xfId="7469"/>
    <cellStyle name="Normal 124 6 2 2 2" xfId="16510"/>
    <cellStyle name="Normal 124 6 2 3" xfId="11997"/>
    <cellStyle name="Normal 124 6 3" xfId="5766"/>
    <cellStyle name="Normal 124 6 3 2" xfId="14807"/>
    <cellStyle name="Normal 124 6 4" xfId="10294"/>
    <cellStyle name="Normal 124 7" xfId="2929"/>
    <cellStyle name="Normal 124 7 2" xfId="7446"/>
    <cellStyle name="Normal 124 7 2 2" xfId="16487"/>
    <cellStyle name="Normal 124 7 3" xfId="11974"/>
    <cellStyle name="Normal 124 8" xfId="4638"/>
    <cellStyle name="Normal 124 8 2" xfId="13679"/>
    <cellStyle name="Normal 124 9" xfId="9166"/>
    <cellStyle name="Normal 125" xfId="31"/>
    <cellStyle name="Normal 125 2" xfId="127"/>
    <cellStyle name="Normal 125 2 2" xfId="356"/>
    <cellStyle name="Normal 125 2 2 2" xfId="920"/>
    <cellStyle name="Normal 125 2 2 2 2" xfId="2090"/>
    <cellStyle name="Normal 125 2 2 2 2 2" xfId="2957"/>
    <cellStyle name="Normal 125 2 2 2 2 2 2" xfId="7474"/>
    <cellStyle name="Normal 125 2 2 2 2 2 2 2" xfId="16515"/>
    <cellStyle name="Normal 125 2 2 2 2 2 3" xfId="12002"/>
    <cellStyle name="Normal 125 2 2 2 2 3" xfId="6613"/>
    <cellStyle name="Normal 125 2 2 2 2 3 2" xfId="15654"/>
    <cellStyle name="Normal 125 2 2 2 2 4" xfId="11141"/>
    <cellStyle name="Normal 125 2 2 2 3" xfId="2956"/>
    <cellStyle name="Normal 125 2 2 2 3 2" xfId="7473"/>
    <cellStyle name="Normal 125 2 2 2 3 2 2" xfId="16514"/>
    <cellStyle name="Normal 125 2 2 2 3 3" xfId="12001"/>
    <cellStyle name="Normal 125 2 2 2 4" xfId="5485"/>
    <cellStyle name="Normal 125 2 2 2 4 2" xfId="14526"/>
    <cellStyle name="Normal 125 2 2 2 5" xfId="10013"/>
    <cellStyle name="Normal 125 2 2 3" xfId="1526"/>
    <cellStyle name="Normal 125 2 2 3 2" xfId="2958"/>
    <cellStyle name="Normal 125 2 2 3 2 2" xfId="7475"/>
    <cellStyle name="Normal 125 2 2 3 2 2 2" xfId="16516"/>
    <cellStyle name="Normal 125 2 2 3 2 3" xfId="12003"/>
    <cellStyle name="Normal 125 2 2 3 3" xfId="6049"/>
    <cellStyle name="Normal 125 2 2 3 3 2" xfId="15090"/>
    <cellStyle name="Normal 125 2 2 3 4" xfId="10577"/>
    <cellStyle name="Normal 125 2 2 4" xfId="2955"/>
    <cellStyle name="Normal 125 2 2 4 2" xfId="7472"/>
    <cellStyle name="Normal 125 2 2 4 2 2" xfId="16513"/>
    <cellStyle name="Normal 125 2 2 4 3" xfId="12000"/>
    <cellStyle name="Normal 125 2 2 5" xfId="4921"/>
    <cellStyle name="Normal 125 2 2 5 2" xfId="13962"/>
    <cellStyle name="Normal 125 2 2 6" xfId="9449"/>
    <cellStyle name="Normal 125 2 3" xfId="544"/>
    <cellStyle name="Normal 125 2 3 2" xfId="1108"/>
    <cellStyle name="Normal 125 2 3 2 2" xfId="2278"/>
    <cellStyle name="Normal 125 2 3 2 2 2" xfId="2961"/>
    <cellStyle name="Normal 125 2 3 2 2 2 2" xfId="7478"/>
    <cellStyle name="Normal 125 2 3 2 2 2 2 2" xfId="16519"/>
    <cellStyle name="Normal 125 2 3 2 2 2 3" xfId="12006"/>
    <cellStyle name="Normal 125 2 3 2 2 3" xfId="6801"/>
    <cellStyle name="Normal 125 2 3 2 2 3 2" xfId="15842"/>
    <cellStyle name="Normal 125 2 3 2 2 4" xfId="11329"/>
    <cellStyle name="Normal 125 2 3 2 3" xfId="2960"/>
    <cellStyle name="Normal 125 2 3 2 3 2" xfId="7477"/>
    <cellStyle name="Normal 125 2 3 2 3 2 2" xfId="16518"/>
    <cellStyle name="Normal 125 2 3 2 3 3" xfId="12005"/>
    <cellStyle name="Normal 125 2 3 2 4" xfId="5673"/>
    <cellStyle name="Normal 125 2 3 2 4 2" xfId="14714"/>
    <cellStyle name="Normal 125 2 3 2 5" xfId="10201"/>
    <cellStyle name="Normal 125 2 3 3" xfId="1714"/>
    <cellStyle name="Normal 125 2 3 3 2" xfId="2962"/>
    <cellStyle name="Normal 125 2 3 3 2 2" xfId="7479"/>
    <cellStyle name="Normal 125 2 3 3 2 2 2" xfId="16520"/>
    <cellStyle name="Normal 125 2 3 3 2 3" xfId="12007"/>
    <cellStyle name="Normal 125 2 3 3 3" xfId="6237"/>
    <cellStyle name="Normal 125 2 3 3 3 2" xfId="15278"/>
    <cellStyle name="Normal 125 2 3 3 4" xfId="10765"/>
    <cellStyle name="Normal 125 2 3 4" xfId="2959"/>
    <cellStyle name="Normal 125 2 3 4 2" xfId="7476"/>
    <cellStyle name="Normal 125 2 3 4 2 2" xfId="16517"/>
    <cellStyle name="Normal 125 2 3 4 3" xfId="12004"/>
    <cellStyle name="Normal 125 2 3 5" xfId="5109"/>
    <cellStyle name="Normal 125 2 3 5 2" xfId="14150"/>
    <cellStyle name="Normal 125 2 3 6" xfId="9637"/>
    <cellStyle name="Normal 125 2 4" xfId="732"/>
    <cellStyle name="Normal 125 2 4 2" xfId="1902"/>
    <cellStyle name="Normal 125 2 4 2 2" xfId="2964"/>
    <cellStyle name="Normal 125 2 4 2 2 2" xfId="7481"/>
    <cellStyle name="Normal 125 2 4 2 2 2 2" xfId="16522"/>
    <cellStyle name="Normal 125 2 4 2 2 3" xfId="12009"/>
    <cellStyle name="Normal 125 2 4 2 3" xfId="6425"/>
    <cellStyle name="Normal 125 2 4 2 3 2" xfId="15466"/>
    <cellStyle name="Normal 125 2 4 2 4" xfId="10953"/>
    <cellStyle name="Normal 125 2 4 3" xfId="2963"/>
    <cellStyle name="Normal 125 2 4 3 2" xfId="7480"/>
    <cellStyle name="Normal 125 2 4 3 2 2" xfId="16521"/>
    <cellStyle name="Normal 125 2 4 3 3" xfId="12008"/>
    <cellStyle name="Normal 125 2 4 4" xfId="5297"/>
    <cellStyle name="Normal 125 2 4 4 2" xfId="14338"/>
    <cellStyle name="Normal 125 2 4 5" xfId="9825"/>
    <cellStyle name="Normal 125 2 5" xfId="1338"/>
    <cellStyle name="Normal 125 2 5 2" xfId="2965"/>
    <cellStyle name="Normal 125 2 5 2 2" xfId="7482"/>
    <cellStyle name="Normal 125 2 5 2 2 2" xfId="16523"/>
    <cellStyle name="Normal 125 2 5 2 3" xfId="12010"/>
    <cellStyle name="Normal 125 2 5 3" xfId="5861"/>
    <cellStyle name="Normal 125 2 5 3 2" xfId="14902"/>
    <cellStyle name="Normal 125 2 5 4" xfId="10389"/>
    <cellStyle name="Normal 125 2 6" xfId="2954"/>
    <cellStyle name="Normal 125 2 6 2" xfId="7471"/>
    <cellStyle name="Normal 125 2 6 2 2" xfId="16512"/>
    <cellStyle name="Normal 125 2 6 3" xfId="11999"/>
    <cellStyle name="Normal 125 2 7" xfId="4733"/>
    <cellStyle name="Normal 125 2 7 2" xfId="13774"/>
    <cellStyle name="Normal 125 2 8" xfId="9261"/>
    <cellStyle name="Normal 125 3" xfId="262"/>
    <cellStyle name="Normal 125 3 2" xfId="826"/>
    <cellStyle name="Normal 125 3 2 2" xfId="1996"/>
    <cellStyle name="Normal 125 3 2 2 2" xfId="2968"/>
    <cellStyle name="Normal 125 3 2 2 2 2" xfId="7485"/>
    <cellStyle name="Normal 125 3 2 2 2 2 2" xfId="16526"/>
    <cellStyle name="Normal 125 3 2 2 2 3" xfId="12013"/>
    <cellStyle name="Normal 125 3 2 2 3" xfId="6519"/>
    <cellStyle name="Normal 125 3 2 2 3 2" xfId="15560"/>
    <cellStyle name="Normal 125 3 2 2 4" xfId="11047"/>
    <cellStyle name="Normal 125 3 2 3" xfId="2967"/>
    <cellStyle name="Normal 125 3 2 3 2" xfId="7484"/>
    <cellStyle name="Normal 125 3 2 3 2 2" xfId="16525"/>
    <cellStyle name="Normal 125 3 2 3 3" xfId="12012"/>
    <cellStyle name="Normal 125 3 2 4" xfId="5391"/>
    <cellStyle name="Normal 125 3 2 4 2" xfId="14432"/>
    <cellStyle name="Normal 125 3 2 5" xfId="9919"/>
    <cellStyle name="Normal 125 3 3" xfId="1432"/>
    <cellStyle name="Normal 125 3 3 2" xfId="2969"/>
    <cellStyle name="Normal 125 3 3 2 2" xfId="7486"/>
    <cellStyle name="Normal 125 3 3 2 2 2" xfId="16527"/>
    <cellStyle name="Normal 125 3 3 2 3" xfId="12014"/>
    <cellStyle name="Normal 125 3 3 3" xfId="5955"/>
    <cellStyle name="Normal 125 3 3 3 2" xfId="14996"/>
    <cellStyle name="Normal 125 3 3 4" xfId="10483"/>
    <cellStyle name="Normal 125 3 4" xfId="2966"/>
    <cellStyle name="Normal 125 3 4 2" xfId="7483"/>
    <cellStyle name="Normal 125 3 4 2 2" xfId="16524"/>
    <cellStyle name="Normal 125 3 4 3" xfId="12011"/>
    <cellStyle name="Normal 125 3 5" xfId="4827"/>
    <cellStyle name="Normal 125 3 5 2" xfId="13868"/>
    <cellStyle name="Normal 125 3 6" xfId="9355"/>
    <cellStyle name="Normal 125 4" xfId="450"/>
    <cellStyle name="Normal 125 4 2" xfId="1014"/>
    <cellStyle name="Normal 125 4 2 2" xfId="2184"/>
    <cellStyle name="Normal 125 4 2 2 2" xfId="2972"/>
    <cellStyle name="Normal 125 4 2 2 2 2" xfId="7489"/>
    <cellStyle name="Normal 125 4 2 2 2 2 2" xfId="16530"/>
    <cellStyle name="Normal 125 4 2 2 2 3" xfId="12017"/>
    <cellStyle name="Normal 125 4 2 2 3" xfId="6707"/>
    <cellStyle name="Normal 125 4 2 2 3 2" xfId="15748"/>
    <cellStyle name="Normal 125 4 2 2 4" xfId="11235"/>
    <cellStyle name="Normal 125 4 2 3" xfId="2971"/>
    <cellStyle name="Normal 125 4 2 3 2" xfId="7488"/>
    <cellStyle name="Normal 125 4 2 3 2 2" xfId="16529"/>
    <cellStyle name="Normal 125 4 2 3 3" xfId="12016"/>
    <cellStyle name="Normal 125 4 2 4" xfId="5579"/>
    <cellStyle name="Normal 125 4 2 4 2" xfId="14620"/>
    <cellStyle name="Normal 125 4 2 5" xfId="10107"/>
    <cellStyle name="Normal 125 4 3" xfId="1620"/>
    <cellStyle name="Normal 125 4 3 2" xfId="2973"/>
    <cellStyle name="Normal 125 4 3 2 2" xfId="7490"/>
    <cellStyle name="Normal 125 4 3 2 2 2" xfId="16531"/>
    <cellStyle name="Normal 125 4 3 2 3" xfId="12018"/>
    <cellStyle name="Normal 125 4 3 3" xfId="6143"/>
    <cellStyle name="Normal 125 4 3 3 2" xfId="15184"/>
    <cellStyle name="Normal 125 4 3 4" xfId="10671"/>
    <cellStyle name="Normal 125 4 4" xfId="2970"/>
    <cellStyle name="Normal 125 4 4 2" xfId="7487"/>
    <cellStyle name="Normal 125 4 4 2 2" xfId="16528"/>
    <cellStyle name="Normal 125 4 4 3" xfId="12015"/>
    <cellStyle name="Normal 125 4 5" xfId="5015"/>
    <cellStyle name="Normal 125 4 5 2" xfId="14056"/>
    <cellStyle name="Normal 125 4 6" xfId="9543"/>
    <cellStyle name="Normal 125 5" xfId="638"/>
    <cellStyle name="Normal 125 5 2" xfId="1808"/>
    <cellStyle name="Normal 125 5 2 2" xfId="2975"/>
    <cellStyle name="Normal 125 5 2 2 2" xfId="7492"/>
    <cellStyle name="Normal 125 5 2 2 2 2" xfId="16533"/>
    <cellStyle name="Normal 125 5 2 2 3" xfId="12020"/>
    <cellStyle name="Normal 125 5 2 3" xfId="6331"/>
    <cellStyle name="Normal 125 5 2 3 2" xfId="15372"/>
    <cellStyle name="Normal 125 5 2 4" xfId="10859"/>
    <cellStyle name="Normal 125 5 3" xfId="2974"/>
    <cellStyle name="Normal 125 5 3 2" xfId="7491"/>
    <cellStyle name="Normal 125 5 3 2 2" xfId="16532"/>
    <cellStyle name="Normal 125 5 3 3" xfId="12019"/>
    <cellStyle name="Normal 125 5 4" xfId="5203"/>
    <cellStyle name="Normal 125 5 4 2" xfId="14244"/>
    <cellStyle name="Normal 125 5 5" xfId="9731"/>
    <cellStyle name="Normal 125 6" xfId="1244"/>
    <cellStyle name="Normal 125 6 2" xfId="2976"/>
    <cellStyle name="Normal 125 6 2 2" xfId="7493"/>
    <cellStyle name="Normal 125 6 2 2 2" xfId="16534"/>
    <cellStyle name="Normal 125 6 2 3" xfId="12021"/>
    <cellStyle name="Normal 125 6 3" xfId="5767"/>
    <cellStyle name="Normal 125 6 3 2" xfId="14808"/>
    <cellStyle name="Normal 125 6 4" xfId="10295"/>
    <cellStyle name="Normal 125 7" xfId="2953"/>
    <cellStyle name="Normal 125 7 2" xfId="7470"/>
    <cellStyle name="Normal 125 7 2 2" xfId="16511"/>
    <cellStyle name="Normal 125 7 3" xfId="11998"/>
    <cellStyle name="Normal 125 8" xfId="4639"/>
    <cellStyle name="Normal 125 8 2" xfId="13680"/>
    <cellStyle name="Normal 125 9" xfId="9167"/>
    <cellStyle name="Normal 126" xfId="32"/>
    <cellStyle name="Normal 126 2" xfId="128"/>
    <cellStyle name="Normal 126 2 2" xfId="357"/>
    <cellStyle name="Normal 126 2 2 2" xfId="921"/>
    <cellStyle name="Normal 126 2 2 2 2" xfId="2091"/>
    <cellStyle name="Normal 126 2 2 2 2 2" xfId="2981"/>
    <cellStyle name="Normal 126 2 2 2 2 2 2" xfId="7498"/>
    <cellStyle name="Normal 126 2 2 2 2 2 2 2" xfId="16539"/>
    <cellStyle name="Normal 126 2 2 2 2 2 3" xfId="12026"/>
    <cellStyle name="Normal 126 2 2 2 2 3" xfId="6614"/>
    <cellStyle name="Normal 126 2 2 2 2 3 2" xfId="15655"/>
    <cellStyle name="Normal 126 2 2 2 2 4" xfId="11142"/>
    <cellStyle name="Normal 126 2 2 2 3" xfId="2980"/>
    <cellStyle name="Normal 126 2 2 2 3 2" xfId="7497"/>
    <cellStyle name="Normal 126 2 2 2 3 2 2" xfId="16538"/>
    <cellStyle name="Normal 126 2 2 2 3 3" xfId="12025"/>
    <cellStyle name="Normal 126 2 2 2 4" xfId="5486"/>
    <cellStyle name="Normal 126 2 2 2 4 2" xfId="14527"/>
    <cellStyle name="Normal 126 2 2 2 5" xfId="10014"/>
    <cellStyle name="Normal 126 2 2 3" xfId="1527"/>
    <cellStyle name="Normal 126 2 2 3 2" xfId="2982"/>
    <cellStyle name="Normal 126 2 2 3 2 2" xfId="7499"/>
    <cellStyle name="Normal 126 2 2 3 2 2 2" xfId="16540"/>
    <cellStyle name="Normal 126 2 2 3 2 3" xfId="12027"/>
    <cellStyle name="Normal 126 2 2 3 3" xfId="6050"/>
    <cellStyle name="Normal 126 2 2 3 3 2" xfId="15091"/>
    <cellStyle name="Normal 126 2 2 3 4" xfId="10578"/>
    <cellStyle name="Normal 126 2 2 4" xfId="2979"/>
    <cellStyle name="Normal 126 2 2 4 2" xfId="7496"/>
    <cellStyle name="Normal 126 2 2 4 2 2" xfId="16537"/>
    <cellStyle name="Normal 126 2 2 4 3" xfId="12024"/>
    <cellStyle name="Normal 126 2 2 5" xfId="4922"/>
    <cellStyle name="Normal 126 2 2 5 2" xfId="13963"/>
    <cellStyle name="Normal 126 2 2 6" xfId="9450"/>
    <cellStyle name="Normal 126 2 3" xfId="545"/>
    <cellStyle name="Normal 126 2 3 2" xfId="1109"/>
    <cellStyle name="Normal 126 2 3 2 2" xfId="2279"/>
    <cellStyle name="Normal 126 2 3 2 2 2" xfId="2985"/>
    <cellStyle name="Normal 126 2 3 2 2 2 2" xfId="7502"/>
    <cellStyle name="Normal 126 2 3 2 2 2 2 2" xfId="16543"/>
    <cellStyle name="Normal 126 2 3 2 2 2 3" xfId="12030"/>
    <cellStyle name="Normal 126 2 3 2 2 3" xfId="6802"/>
    <cellStyle name="Normal 126 2 3 2 2 3 2" xfId="15843"/>
    <cellStyle name="Normal 126 2 3 2 2 4" xfId="11330"/>
    <cellStyle name="Normal 126 2 3 2 3" xfId="2984"/>
    <cellStyle name="Normal 126 2 3 2 3 2" xfId="7501"/>
    <cellStyle name="Normal 126 2 3 2 3 2 2" xfId="16542"/>
    <cellStyle name="Normal 126 2 3 2 3 3" xfId="12029"/>
    <cellStyle name="Normal 126 2 3 2 4" xfId="5674"/>
    <cellStyle name="Normal 126 2 3 2 4 2" xfId="14715"/>
    <cellStyle name="Normal 126 2 3 2 5" xfId="10202"/>
    <cellStyle name="Normal 126 2 3 3" xfId="1715"/>
    <cellStyle name="Normal 126 2 3 3 2" xfId="2986"/>
    <cellStyle name="Normal 126 2 3 3 2 2" xfId="7503"/>
    <cellStyle name="Normal 126 2 3 3 2 2 2" xfId="16544"/>
    <cellStyle name="Normal 126 2 3 3 2 3" xfId="12031"/>
    <cellStyle name="Normal 126 2 3 3 3" xfId="6238"/>
    <cellStyle name="Normal 126 2 3 3 3 2" xfId="15279"/>
    <cellStyle name="Normal 126 2 3 3 4" xfId="10766"/>
    <cellStyle name="Normal 126 2 3 4" xfId="2983"/>
    <cellStyle name="Normal 126 2 3 4 2" xfId="7500"/>
    <cellStyle name="Normal 126 2 3 4 2 2" xfId="16541"/>
    <cellStyle name="Normal 126 2 3 4 3" xfId="12028"/>
    <cellStyle name="Normal 126 2 3 5" xfId="5110"/>
    <cellStyle name="Normal 126 2 3 5 2" xfId="14151"/>
    <cellStyle name="Normal 126 2 3 6" xfId="9638"/>
    <cellStyle name="Normal 126 2 4" xfId="733"/>
    <cellStyle name="Normal 126 2 4 2" xfId="1903"/>
    <cellStyle name="Normal 126 2 4 2 2" xfId="2988"/>
    <cellStyle name="Normal 126 2 4 2 2 2" xfId="7505"/>
    <cellStyle name="Normal 126 2 4 2 2 2 2" xfId="16546"/>
    <cellStyle name="Normal 126 2 4 2 2 3" xfId="12033"/>
    <cellStyle name="Normal 126 2 4 2 3" xfId="6426"/>
    <cellStyle name="Normal 126 2 4 2 3 2" xfId="15467"/>
    <cellStyle name="Normal 126 2 4 2 4" xfId="10954"/>
    <cellStyle name="Normal 126 2 4 3" xfId="2987"/>
    <cellStyle name="Normal 126 2 4 3 2" xfId="7504"/>
    <cellStyle name="Normal 126 2 4 3 2 2" xfId="16545"/>
    <cellStyle name="Normal 126 2 4 3 3" xfId="12032"/>
    <cellStyle name="Normal 126 2 4 4" xfId="5298"/>
    <cellStyle name="Normal 126 2 4 4 2" xfId="14339"/>
    <cellStyle name="Normal 126 2 4 5" xfId="9826"/>
    <cellStyle name="Normal 126 2 5" xfId="1339"/>
    <cellStyle name="Normal 126 2 5 2" xfId="2989"/>
    <cellStyle name="Normal 126 2 5 2 2" xfId="7506"/>
    <cellStyle name="Normal 126 2 5 2 2 2" xfId="16547"/>
    <cellStyle name="Normal 126 2 5 2 3" xfId="12034"/>
    <cellStyle name="Normal 126 2 5 3" xfId="5862"/>
    <cellStyle name="Normal 126 2 5 3 2" xfId="14903"/>
    <cellStyle name="Normal 126 2 5 4" xfId="10390"/>
    <cellStyle name="Normal 126 2 6" xfId="2978"/>
    <cellStyle name="Normal 126 2 6 2" xfId="7495"/>
    <cellStyle name="Normal 126 2 6 2 2" xfId="16536"/>
    <cellStyle name="Normal 126 2 6 3" xfId="12023"/>
    <cellStyle name="Normal 126 2 7" xfId="4734"/>
    <cellStyle name="Normal 126 2 7 2" xfId="13775"/>
    <cellStyle name="Normal 126 2 8" xfId="9262"/>
    <cellStyle name="Normal 126 3" xfId="263"/>
    <cellStyle name="Normal 126 3 2" xfId="827"/>
    <cellStyle name="Normal 126 3 2 2" xfId="1997"/>
    <cellStyle name="Normal 126 3 2 2 2" xfId="2992"/>
    <cellStyle name="Normal 126 3 2 2 2 2" xfId="7509"/>
    <cellStyle name="Normal 126 3 2 2 2 2 2" xfId="16550"/>
    <cellStyle name="Normal 126 3 2 2 2 3" xfId="12037"/>
    <cellStyle name="Normal 126 3 2 2 3" xfId="6520"/>
    <cellStyle name="Normal 126 3 2 2 3 2" xfId="15561"/>
    <cellStyle name="Normal 126 3 2 2 4" xfId="11048"/>
    <cellStyle name="Normal 126 3 2 3" xfId="2991"/>
    <cellStyle name="Normal 126 3 2 3 2" xfId="7508"/>
    <cellStyle name="Normal 126 3 2 3 2 2" xfId="16549"/>
    <cellStyle name="Normal 126 3 2 3 3" xfId="12036"/>
    <cellStyle name="Normal 126 3 2 4" xfId="5392"/>
    <cellStyle name="Normal 126 3 2 4 2" xfId="14433"/>
    <cellStyle name="Normal 126 3 2 5" xfId="9920"/>
    <cellStyle name="Normal 126 3 3" xfId="1433"/>
    <cellStyle name="Normal 126 3 3 2" xfId="2993"/>
    <cellStyle name="Normal 126 3 3 2 2" xfId="7510"/>
    <cellStyle name="Normal 126 3 3 2 2 2" xfId="16551"/>
    <cellStyle name="Normal 126 3 3 2 3" xfId="12038"/>
    <cellStyle name="Normal 126 3 3 3" xfId="5956"/>
    <cellStyle name="Normal 126 3 3 3 2" xfId="14997"/>
    <cellStyle name="Normal 126 3 3 4" xfId="10484"/>
    <cellStyle name="Normal 126 3 4" xfId="2990"/>
    <cellStyle name="Normal 126 3 4 2" xfId="7507"/>
    <cellStyle name="Normal 126 3 4 2 2" xfId="16548"/>
    <cellStyle name="Normal 126 3 4 3" xfId="12035"/>
    <cellStyle name="Normal 126 3 5" xfId="4828"/>
    <cellStyle name="Normal 126 3 5 2" xfId="13869"/>
    <cellStyle name="Normal 126 3 6" xfId="9356"/>
    <cellStyle name="Normal 126 4" xfId="451"/>
    <cellStyle name="Normal 126 4 2" xfId="1015"/>
    <cellStyle name="Normal 126 4 2 2" xfId="2185"/>
    <cellStyle name="Normal 126 4 2 2 2" xfId="2996"/>
    <cellStyle name="Normal 126 4 2 2 2 2" xfId="7513"/>
    <cellStyle name="Normal 126 4 2 2 2 2 2" xfId="16554"/>
    <cellStyle name="Normal 126 4 2 2 2 3" xfId="12041"/>
    <cellStyle name="Normal 126 4 2 2 3" xfId="6708"/>
    <cellStyle name="Normal 126 4 2 2 3 2" xfId="15749"/>
    <cellStyle name="Normal 126 4 2 2 4" xfId="11236"/>
    <cellStyle name="Normal 126 4 2 3" xfId="2995"/>
    <cellStyle name="Normal 126 4 2 3 2" xfId="7512"/>
    <cellStyle name="Normal 126 4 2 3 2 2" xfId="16553"/>
    <cellStyle name="Normal 126 4 2 3 3" xfId="12040"/>
    <cellStyle name="Normal 126 4 2 4" xfId="5580"/>
    <cellStyle name="Normal 126 4 2 4 2" xfId="14621"/>
    <cellStyle name="Normal 126 4 2 5" xfId="10108"/>
    <cellStyle name="Normal 126 4 3" xfId="1621"/>
    <cellStyle name="Normal 126 4 3 2" xfId="2997"/>
    <cellStyle name="Normal 126 4 3 2 2" xfId="7514"/>
    <cellStyle name="Normal 126 4 3 2 2 2" xfId="16555"/>
    <cellStyle name="Normal 126 4 3 2 3" xfId="12042"/>
    <cellStyle name="Normal 126 4 3 3" xfId="6144"/>
    <cellStyle name="Normal 126 4 3 3 2" xfId="15185"/>
    <cellStyle name="Normal 126 4 3 4" xfId="10672"/>
    <cellStyle name="Normal 126 4 4" xfId="2994"/>
    <cellStyle name="Normal 126 4 4 2" xfId="7511"/>
    <cellStyle name="Normal 126 4 4 2 2" xfId="16552"/>
    <cellStyle name="Normal 126 4 4 3" xfId="12039"/>
    <cellStyle name="Normal 126 4 5" xfId="5016"/>
    <cellStyle name="Normal 126 4 5 2" xfId="14057"/>
    <cellStyle name="Normal 126 4 6" xfId="9544"/>
    <cellStyle name="Normal 126 5" xfId="639"/>
    <cellStyle name="Normal 126 5 2" xfId="1809"/>
    <cellStyle name="Normal 126 5 2 2" xfId="2999"/>
    <cellStyle name="Normal 126 5 2 2 2" xfId="7516"/>
    <cellStyle name="Normal 126 5 2 2 2 2" xfId="16557"/>
    <cellStyle name="Normal 126 5 2 2 3" xfId="12044"/>
    <cellStyle name="Normal 126 5 2 3" xfId="6332"/>
    <cellStyle name="Normal 126 5 2 3 2" xfId="15373"/>
    <cellStyle name="Normal 126 5 2 4" xfId="10860"/>
    <cellStyle name="Normal 126 5 3" xfId="2998"/>
    <cellStyle name="Normal 126 5 3 2" xfId="7515"/>
    <cellStyle name="Normal 126 5 3 2 2" xfId="16556"/>
    <cellStyle name="Normal 126 5 3 3" xfId="12043"/>
    <cellStyle name="Normal 126 5 4" xfId="5204"/>
    <cellStyle name="Normal 126 5 4 2" xfId="14245"/>
    <cellStyle name="Normal 126 5 5" xfId="9732"/>
    <cellStyle name="Normal 126 6" xfId="1245"/>
    <cellStyle name="Normal 126 6 2" xfId="3000"/>
    <cellStyle name="Normal 126 6 2 2" xfId="7517"/>
    <cellStyle name="Normal 126 6 2 2 2" xfId="16558"/>
    <cellStyle name="Normal 126 6 2 3" xfId="12045"/>
    <cellStyle name="Normal 126 6 3" xfId="5768"/>
    <cellStyle name="Normal 126 6 3 2" xfId="14809"/>
    <cellStyle name="Normal 126 6 4" xfId="10296"/>
    <cellStyle name="Normal 126 7" xfId="2977"/>
    <cellStyle name="Normal 126 7 2" xfId="7494"/>
    <cellStyle name="Normal 126 7 2 2" xfId="16535"/>
    <cellStyle name="Normal 126 7 3" xfId="12022"/>
    <cellStyle name="Normal 126 8" xfId="4640"/>
    <cellStyle name="Normal 126 8 2" xfId="13681"/>
    <cellStyle name="Normal 126 9" xfId="9168"/>
    <cellStyle name="Normal 127" xfId="33"/>
    <cellStyle name="Normal 127 2" xfId="129"/>
    <cellStyle name="Normal 127 2 2" xfId="358"/>
    <cellStyle name="Normal 127 2 2 2" xfId="922"/>
    <cellStyle name="Normal 127 2 2 2 2" xfId="2092"/>
    <cellStyle name="Normal 127 2 2 2 2 2" xfId="3005"/>
    <cellStyle name="Normal 127 2 2 2 2 2 2" xfId="7522"/>
    <cellStyle name="Normal 127 2 2 2 2 2 2 2" xfId="16563"/>
    <cellStyle name="Normal 127 2 2 2 2 2 3" xfId="12050"/>
    <cellStyle name="Normal 127 2 2 2 2 3" xfId="6615"/>
    <cellStyle name="Normal 127 2 2 2 2 3 2" xfId="15656"/>
    <cellStyle name="Normal 127 2 2 2 2 4" xfId="11143"/>
    <cellStyle name="Normal 127 2 2 2 3" xfId="3004"/>
    <cellStyle name="Normal 127 2 2 2 3 2" xfId="7521"/>
    <cellStyle name="Normal 127 2 2 2 3 2 2" xfId="16562"/>
    <cellStyle name="Normal 127 2 2 2 3 3" xfId="12049"/>
    <cellStyle name="Normal 127 2 2 2 4" xfId="5487"/>
    <cellStyle name="Normal 127 2 2 2 4 2" xfId="14528"/>
    <cellStyle name="Normal 127 2 2 2 5" xfId="10015"/>
    <cellStyle name="Normal 127 2 2 3" xfId="1528"/>
    <cellStyle name="Normal 127 2 2 3 2" xfId="3006"/>
    <cellStyle name="Normal 127 2 2 3 2 2" xfId="7523"/>
    <cellStyle name="Normal 127 2 2 3 2 2 2" xfId="16564"/>
    <cellStyle name="Normal 127 2 2 3 2 3" xfId="12051"/>
    <cellStyle name="Normal 127 2 2 3 3" xfId="6051"/>
    <cellStyle name="Normal 127 2 2 3 3 2" xfId="15092"/>
    <cellStyle name="Normal 127 2 2 3 4" xfId="10579"/>
    <cellStyle name="Normal 127 2 2 4" xfId="3003"/>
    <cellStyle name="Normal 127 2 2 4 2" xfId="7520"/>
    <cellStyle name="Normal 127 2 2 4 2 2" xfId="16561"/>
    <cellStyle name="Normal 127 2 2 4 3" xfId="12048"/>
    <cellStyle name="Normal 127 2 2 5" xfId="4923"/>
    <cellStyle name="Normal 127 2 2 5 2" xfId="13964"/>
    <cellStyle name="Normal 127 2 2 6" xfId="9451"/>
    <cellStyle name="Normal 127 2 3" xfId="546"/>
    <cellStyle name="Normal 127 2 3 2" xfId="1110"/>
    <cellStyle name="Normal 127 2 3 2 2" xfId="2280"/>
    <cellStyle name="Normal 127 2 3 2 2 2" xfId="3009"/>
    <cellStyle name="Normal 127 2 3 2 2 2 2" xfId="7526"/>
    <cellStyle name="Normal 127 2 3 2 2 2 2 2" xfId="16567"/>
    <cellStyle name="Normal 127 2 3 2 2 2 3" xfId="12054"/>
    <cellStyle name="Normal 127 2 3 2 2 3" xfId="6803"/>
    <cellStyle name="Normal 127 2 3 2 2 3 2" xfId="15844"/>
    <cellStyle name="Normal 127 2 3 2 2 4" xfId="11331"/>
    <cellStyle name="Normal 127 2 3 2 3" xfId="3008"/>
    <cellStyle name="Normal 127 2 3 2 3 2" xfId="7525"/>
    <cellStyle name="Normal 127 2 3 2 3 2 2" xfId="16566"/>
    <cellStyle name="Normal 127 2 3 2 3 3" xfId="12053"/>
    <cellStyle name="Normal 127 2 3 2 4" xfId="5675"/>
    <cellStyle name="Normal 127 2 3 2 4 2" xfId="14716"/>
    <cellStyle name="Normal 127 2 3 2 5" xfId="10203"/>
    <cellStyle name="Normal 127 2 3 3" xfId="1716"/>
    <cellStyle name="Normal 127 2 3 3 2" xfId="3010"/>
    <cellStyle name="Normal 127 2 3 3 2 2" xfId="7527"/>
    <cellStyle name="Normal 127 2 3 3 2 2 2" xfId="16568"/>
    <cellStyle name="Normal 127 2 3 3 2 3" xfId="12055"/>
    <cellStyle name="Normal 127 2 3 3 3" xfId="6239"/>
    <cellStyle name="Normal 127 2 3 3 3 2" xfId="15280"/>
    <cellStyle name="Normal 127 2 3 3 4" xfId="10767"/>
    <cellStyle name="Normal 127 2 3 4" xfId="3007"/>
    <cellStyle name="Normal 127 2 3 4 2" xfId="7524"/>
    <cellStyle name="Normal 127 2 3 4 2 2" xfId="16565"/>
    <cellStyle name="Normal 127 2 3 4 3" xfId="12052"/>
    <cellStyle name="Normal 127 2 3 5" xfId="5111"/>
    <cellStyle name="Normal 127 2 3 5 2" xfId="14152"/>
    <cellStyle name="Normal 127 2 3 6" xfId="9639"/>
    <cellStyle name="Normal 127 2 4" xfId="734"/>
    <cellStyle name="Normal 127 2 4 2" xfId="1904"/>
    <cellStyle name="Normal 127 2 4 2 2" xfId="3012"/>
    <cellStyle name="Normal 127 2 4 2 2 2" xfId="7529"/>
    <cellStyle name="Normal 127 2 4 2 2 2 2" xfId="16570"/>
    <cellStyle name="Normal 127 2 4 2 2 3" xfId="12057"/>
    <cellStyle name="Normal 127 2 4 2 3" xfId="6427"/>
    <cellStyle name="Normal 127 2 4 2 3 2" xfId="15468"/>
    <cellStyle name="Normal 127 2 4 2 4" xfId="10955"/>
    <cellStyle name="Normal 127 2 4 3" xfId="3011"/>
    <cellStyle name="Normal 127 2 4 3 2" xfId="7528"/>
    <cellStyle name="Normal 127 2 4 3 2 2" xfId="16569"/>
    <cellStyle name="Normal 127 2 4 3 3" xfId="12056"/>
    <cellStyle name="Normal 127 2 4 4" xfId="5299"/>
    <cellStyle name="Normal 127 2 4 4 2" xfId="14340"/>
    <cellStyle name="Normal 127 2 4 5" xfId="9827"/>
    <cellStyle name="Normal 127 2 5" xfId="1340"/>
    <cellStyle name="Normal 127 2 5 2" xfId="3013"/>
    <cellStyle name="Normal 127 2 5 2 2" xfId="7530"/>
    <cellStyle name="Normal 127 2 5 2 2 2" xfId="16571"/>
    <cellStyle name="Normal 127 2 5 2 3" xfId="12058"/>
    <cellStyle name="Normal 127 2 5 3" xfId="5863"/>
    <cellStyle name="Normal 127 2 5 3 2" xfId="14904"/>
    <cellStyle name="Normal 127 2 5 4" xfId="10391"/>
    <cellStyle name="Normal 127 2 6" xfId="3002"/>
    <cellStyle name="Normal 127 2 6 2" xfId="7519"/>
    <cellStyle name="Normal 127 2 6 2 2" xfId="16560"/>
    <cellStyle name="Normal 127 2 6 3" xfId="12047"/>
    <cellStyle name="Normal 127 2 7" xfId="4735"/>
    <cellStyle name="Normal 127 2 7 2" xfId="13776"/>
    <cellStyle name="Normal 127 2 8" xfId="9263"/>
    <cellStyle name="Normal 127 3" xfId="264"/>
    <cellStyle name="Normal 127 3 2" xfId="828"/>
    <cellStyle name="Normal 127 3 2 2" xfId="1998"/>
    <cellStyle name="Normal 127 3 2 2 2" xfId="3016"/>
    <cellStyle name="Normal 127 3 2 2 2 2" xfId="7533"/>
    <cellStyle name="Normal 127 3 2 2 2 2 2" xfId="16574"/>
    <cellStyle name="Normal 127 3 2 2 2 3" xfId="12061"/>
    <cellStyle name="Normal 127 3 2 2 3" xfId="6521"/>
    <cellStyle name="Normal 127 3 2 2 3 2" xfId="15562"/>
    <cellStyle name="Normal 127 3 2 2 4" xfId="11049"/>
    <cellStyle name="Normal 127 3 2 3" xfId="3015"/>
    <cellStyle name="Normal 127 3 2 3 2" xfId="7532"/>
    <cellStyle name="Normal 127 3 2 3 2 2" xfId="16573"/>
    <cellStyle name="Normal 127 3 2 3 3" xfId="12060"/>
    <cellStyle name="Normal 127 3 2 4" xfId="5393"/>
    <cellStyle name="Normal 127 3 2 4 2" xfId="14434"/>
    <cellStyle name="Normal 127 3 2 5" xfId="9921"/>
    <cellStyle name="Normal 127 3 3" xfId="1434"/>
    <cellStyle name="Normal 127 3 3 2" xfId="3017"/>
    <cellStyle name="Normal 127 3 3 2 2" xfId="7534"/>
    <cellStyle name="Normal 127 3 3 2 2 2" xfId="16575"/>
    <cellStyle name="Normal 127 3 3 2 3" xfId="12062"/>
    <cellStyle name="Normal 127 3 3 3" xfId="5957"/>
    <cellStyle name="Normal 127 3 3 3 2" xfId="14998"/>
    <cellStyle name="Normal 127 3 3 4" xfId="10485"/>
    <cellStyle name="Normal 127 3 4" xfId="3014"/>
    <cellStyle name="Normal 127 3 4 2" xfId="7531"/>
    <cellStyle name="Normal 127 3 4 2 2" xfId="16572"/>
    <cellStyle name="Normal 127 3 4 3" xfId="12059"/>
    <cellStyle name="Normal 127 3 5" xfId="4829"/>
    <cellStyle name="Normal 127 3 5 2" xfId="13870"/>
    <cellStyle name="Normal 127 3 6" xfId="9357"/>
    <cellStyle name="Normal 127 4" xfId="452"/>
    <cellStyle name="Normal 127 4 2" xfId="1016"/>
    <cellStyle name="Normal 127 4 2 2" xfId="2186"/>
    <cellStyle name="Normal 127 4 2 2 2" xfId="3020"/>
    <cellStyle name="Normal 127 4 2 2 2 2" xfId="7537"/>
    <cellStyle name="Normal 127 4 2 2 2 2 2" xfId="16578"/>
    <cellStyle name="Normal 127 4 2 2 2 3" xfId="12065"/>
    <cellStyle name="Normal 127 4 2 2 3" xfId="6709"/>
    <cellStyle name="Normal 127 4 2 2 3 2" xfId="15750"/>
    <cellStyle name="Normal 127 4 2 2 4" xfId="11237"/>
    <cellStyle name="Normal 127 4 2 3" xfId="3019"/>
    <cellStyle name="Normal 127 4 2 3 2" xfId="7536"/>
    <cellStyle name="Normal 127 4 2 3 2 2" xfId="16577"/>
    <cellStyle name="Normal 127 4 2 3 3" xfId="12064"/>
    <cellStyle name="Normal 127 4 2 4" xfId="5581"/>
    <cellStyle name="Normal 127 4 2 4 2" xfId="14622"/>
    <cellStyle name="Normal 127 4 2 5" xfId="10109"/>
    <cellStyle name="Normal 127 4 3" xfId="1622"/>
    <cellStyle name="Normal 127 4 3 2" xfId="3021"/>
    <cellStyle name="Normal 127 4 3 2 2" xfId="7538"/>
    <cellStyle name="Normal 127 4 3 2 2 2" xfId="16579"/>
    <cellStyle name="Normal 127 4 3 2 3" xfId="12066"/>
    <cellStyle name="Normal 127 4 3 3" xfId="6145"/>
    <cellStyle name="Normal 127 4 3 3 2" xfId="15186"/>
    <cellStyle name="Normal 127 4 3 4" xfId="10673"/>
    <cellStyle name="Normal 127 4 4" xfId="3018"/>
    <cellStyle name="Normal 127 4 4 2" xfId="7535"/>
    <cellStyle name="Normal 127 4 4 2 2" xfId="16576"/>
    <cellStyle name="Normal 127 4 4 3" xfId="12063"/>
    <cellStyle name="Normal 127 4 5" xfId="5017"/>
    <cellStyle name="Normal 127 4 5 2" xfId="14058"/>
    <cellStyle name="Normal 127 4 6" xfId="9545"/>
    <cellStyle name="Normal 127 5" xfId="640"/>
    <cellStyle name="Normal 127 5 2" xfId="1810"/>
    <cellStyle name="Normal 127 5 2 2" xfId="3023"/>
    <cellStyle name="Normal 127 5 2 2 2" xfId="7540"/>
    <cellStyle name="Normal 127 5 2 2 2 2" xfId="16581"/>
    <cellStyle name="Normal 127 5 2 2 3" xfId="12068"/>
    <cellStyle name="Normal 127 5 2 3" xfId="6333"/>
    <cellStyle name="Normal 127 5 2 3 2" xfId="15374"/>
    <cellStyle name="Normal 127 5 2 4" xfId="10861"/>
    <cellStyle name="Normal 127 5 3" xfId="3022"/>
    <cellStyle name="Normal 127 5 3 2" xfId="7539"/>
    <cellStyle name="Normal 127 5 3 2 2" xfId="16580"/>
    <cellStyle name="Normal 127 5 3 3" xfId="12067"/>
    <cellStyle name="Normal 127 5 4" xfId="5205"/>
    <cellStyle name="Normal 127 5 4 2" xfId="14246"/>
    <cellStyle name="Normal 127 5 5" xfId="9733"/>
    <cellStyle name="Normal 127 6" xfId="1246"/>
    <cellStyle name="Normal 127 6 2" xfId="3024"/>
    <cellStyle name="Normal 127 6 2 2" xfId="7541"/>
    <cellStyle name="Normal 127 6 2 2 2" xfId="16582"/>
    <cellStyle name="Normal 127 6 2 3" xfId="12069"/>
    <cellStyle name="Normal 127 6 3" xfId="5769"/>
    <cellStyle name="Normal 127 6 3 2" xfId="14810"/>
    <cellStyle name="Normal 127 6 4" xfId="10297"/>
    <cellStyle name="Normal 127 7" xfId="3001"/>
    <cellStyle name="Normal 127 7 2" xfId="7518"/>
    <cellStyle name="Normal 127 7 2 2" xfId="16559"/>
    <cellStyle name="Normal 127 7 3" xfId="12046"/>
    <cellStyle name="Normal 127 8" xfId="4641"/>
    <cellStyle name="Normal 127 8 2" xfId="13682"/>
    <cellStyle name="Normal 127 9" xfId="9169"/>
    <cellStyle name="Normal 128" xfId="34"/>
    <cellStyle name="Normal 128 2" xfId="130"/>
    <cellStyle name="Normal 128 2 2" xfId="359"/>
    <cellStyle name="Normal 128 2 2 2" xfId="923"/>
    <cellStyle name="Normal 128 2 2 2 2" xfId="2093"/>
    <cellStyle name="Normal 128 2 2 2 2 2" xfId="3029"/>
    <cellStyle name="Normal 128 2 2 2 2 2 2" xfId="7546"/>
    <cellStyle name="Normal 128 2 2 2 2 2 2 2" xfId="16587"/>
    <cellStyle name="Normal 128 2 2 2 2 2 3" xfId="12074"/>
    <cellStyle name="Normal 128 2 2 2 2 3" xfId="6616"/>
    <cellStyle name="Normal 128 2 2 2 2 3 2" xfId="15657"/>
    <cellStyle name="Normal 128 2 2 2 2 4" xfId="11144"/>
    <cellStyle name="Normal 128 2 2 2 3" xfId="3028"/>
    <cellStyle name="Normal 128 2 2 2 3 2" xfId="7545"/>
    <cellStyle name="Normal 128 2 2 2 3 2 2" xfId="16586"/>
    <cellStyle name="Normal 128 2 2 2 3 3" xfId="12073"/>
    <cellStyle name="Normal 128 2 2 2 4" xfId="5488"/>
    <cellStyle name="Normal 128 2 2 2 4 2" xfId="14529"/>
    <cellStyle name="Normal 128 2 2 2 5" xfId="10016"/>
    <cellStyle name="Normal 128 2 2 3" xfId="1529"/>
    <cellStyle name="Normal 128 2 2 3 2" xfId="3030"/>
    <cellStyle name="Normal 128 2 2 3 2 2" xfId="7547"/>
    <cellStyle name="Normal 128 2 2 3 2 2 2" xfId="16588"/>
    <cellStyle name="Normal 128 2 2 3 2 3" xfId="12075"/>
    <cellStyle name="Normal 128 2 2 3 3" xfId="6052"/>
    <cellStyle name="Normal 128 2 2 3 3 2" xfId="15093"/>
    <cellStyle name="Normal 128 2 2 3 4" xfId="10580"/>
    <cellStyle name="Normal 128 2 2 4" xfId="3027"/>
    <cellStyle name="Normal 128 2 2 4 2" xfId="7544"/>
    <cellStyle name="Normal 128 2 2 4 2 2" xfId="16585"/>
    <cellStyle name="Normal 128 2 2 4 3" xfId="12072"/>
    <cellStyle name="Normal 128 2 2 5" xfId="4924"/>
    <cellStyle name="Normal 128 2 2 5 2" xfId="13965"/>
    <cellStyle name="Normal 128 2 2 6" xfId="9452"/>
    <cellStyle name="Normal 128 2 3" xfId="547"/>
    <cellStyle name="Normal 128 2 3 2" xfId="1111"/>
    <cellStyle name="Normal 128 2 3 2 2" xfId="2281"/>
    <cellStyle name="Normal 128 2 3 2 2 2" xfId="3033"/>
    <cellStyle name="Normal 128 2 3 2 2 2 2" xfId="7550"/>
    <cellStyle name="Normal 128 2 3 2 2 2 2 2" xfId="16591"/>
    <cellStyle name="Normal 128 2 3 2 2 2 3" xfId="12078"/>
    <cellStyle name="Normal 128 2 3 2 2 3" xfId="6804"/>
    <cellStyle name="Normal 128 2 3 2 2 3 2" xfId="15845"/>
    <cellStyle name="Normal 128 2 3 2 2 4" xfId="11332"/>
    <cellStyle name="Normal 128 2 3 2 3" xfId="3032"/>
    <cellStyle name="Normal 128 2 3 2 3 2" xfId="7549"/>
    <cellStyle name="Normal 128 2 3 2 3 2 2" xfId="16590"/>
    <cellStyle name="Normal 128 2 3 2 3 3" xfId="12077"/>
    <cellStyle name="Normal 128 2 3 2 4" xfId="5676"/>
    <cellStyle name="Normal 128 2 3 2 4 2" xfId="14717"/>
    <cellStyle name="Normal 128 2 3 2 5" xfId="10204"/>
    <cellStyle name="Normal 128 2 3 3" xfId="1717"/>
    <cellStyle name="Normal 128 2 3 3 2" xfId="3034"/>
    <cellStyle name="Normal 128 2 3 3 2 2" xfId="7551"/>
    <cellStyle name="Normal 128 2 3 3 2 2 2" xfId="16592"/>
    <cellStyle name="Normal 128 2 3 3 2 3" xfId="12079"/>
    <cellStyle name="Normal 128 2 3 3 3" xfId="6240"/>
    <cellStyle name="Normal 128 2 3 3 3 2" xfId="15281"/>
    <cellStyle name="Normal 128 2 3 3 4" xfId="10768"/>
    <cellStyle name="Normal 128 2 3 4" xfId="3031"/>
    <cellStyle name="Normal 128 2 3 4 2" xfId="7548"/>
    <cellStyle name="Normal 128 2 3 4 2 2" xfId="16589"/>
    <cellStyle name="Normal 128 2 3 4 3" xfId="12076"/>
    <cellStyle name="Normal 128 2 3 5" xfId="5112"/>
    <cellStyle name="Normal 128 2 3 5 2" xfId="14153"/>
    <cellStyle name="Normal 128 2 3 6" xfId="9640"/>
    <cellStyle name="Normal 128 2 4" xfId="735"/>
    <cellStyle name="Normal 128 2 4 2" xfId="1905"/>
    <cellStyle name="Normal 128 2 4 2 2" xfId="3036"/>
    <cellStyle name="Normal 128 2 4 2 2 2" xfId="7553"/>
    <cellStyle name="Normal 128 2 4 2 2 2 2" xfId="16594"/>
    <cellStyle name="Normal 128 2 4 2 2 3" xfId="12081"/>
    <cellStyle name="Normal 128 2 4 2 3" xfId="6428"/>
    <cellStyle name="Normal 128 2 4 2 3 2" xfId="15469"/>
    <cellStyle name="Normal 128 2 4 2 4" xfId="10956"/>
    <cellStyle name="Normal 128 2 4 3" xfId="3035"/>
    <cellStyle name="Normal 128 2 4 3 2" xfId="7552"/>
    <cellStyle name="Normal 128 2 4 3 2 2" xfId="16593"/>
    <cellStyle name="Normal 128 2 4 3 3" xfId="12080"/>
    <cellStyle name="Normal 128 2 4 4" xfId="5300"/>
    <cellStyle name="Normal 128 2 4 4 2" xfId="14341"/>
    <cellStyle name="Normal 128 2 4 5" xfId="9828"/>
    <cellStyle name="Normal 128 2 5" xfId="1341"/>
    <cellStyle name="Normal 128 2 5 2" xfId="3037"/>
    <cellStyle name="Normal 128 2 5 2 2" xfId="7554"/>
    <cellStyle name="Normal 128 2 5 2 2 2" xfId="16595"/>
    <cellStyle name="Normal 128 2 5 2 3" xfId="12082"/>
    <cellStyle name="Normal 128 2 5 3" xfId="5864"/>
    <cellStyle name="Normal 128 2 5 3 2" xfId="14905"/>
    <cellStyle name="Normal 128 2 5 4" xfId="10392"/>
    <cellStyle name="Normal 128 2 6" xfId="3026"/>
    <cellStyle name="Normal 128 2 6 2" xfId="7543"/>
    <cellStyle name="Normal 128 2 6 2 2" xfId="16584"/>
    <cellStyle name="Normal 128 2 6 3" xfId="12071"/>
    <cellStyle name="Normal 128 2 7" xfId="4736"/>
    <cellStyle name="Normal 128 2 7 2" xfId="13777"/>
    <cellStyle name="Normal 128 2 8" xfId="9264"/>
    <cellStyle name="Normal 128 3" xfId="265"/>
    <cellStyle name="Normal 128 3 2" xfId="829"/>
    <cellStyle name="Normal 128 3 2 2" xfId="1999"/>
    <cellStyle name="Normal 128 3 2 2 2" xfId="3040"/>
    <cellStyle name="Normal 128 3 2 2 2 2" xfId="7557"/>
    <cellStyle name="Normal 128 3 2 2 2 2 2" xfId="16598"/>
    <cellStyle name="Normal 128 3 2 2 2 3" xfId="12085"/>
    <cellStyle name="Normal 128 3 2 2 3" xfId="6522"/>
    <cellStyle name="Normal 128 3 2 2 3 2" xfId="15563"/>
    <cellStyle name="Normal 128 3 2 2 4" xfId="11050"/>
    <cellStyle name="Normal 128 3 2 3" xfId="3039"/>
    <cellStyle name="Normal 128 3 2 3 2" xfId="7556"/>
    <cellStyle name="Normal 128 3 2 3 2 2" xfId="16597"/>
    <cellStyle name="Normal 128 3 2 3 3" xfId="12084"/>
    <cellStyle name="Normal 128 3 2 4" xfId="5394"/>
    <cellStyle name="Normal 128 3 2 4 2" xfId="14435"/>
    <cellStyle name="Normal 128 3 2 5" xfId="9922"/>
    <cellStyle name="Normal 128 3 3" xfId="1435"/>
    <cellStyle name="Normal 128 3 3 2" xfId="3041"/>
    <cellStyle name="Normal 128 3 3 2 2" xfId="7558"/>
    <cellStyle name="Normal 128 3 3 2 2 2" xfId="16599"/>
    <cellStyle name="Normal 128 3 3 2 3" xfId="12086"/>
    <cellStyle name="Normal 128 3 3 3" xfId="5958"/>
    <cellStyle name="Normal 128 3 3 3 2" xfId="14999"/>
    <cellStyle name="Normal 128 3 3 4" xfId="10486"/>
    <cellStyle name="Normal 128 3 4" xfId="3038"/>
    <cellStyle name="Normal 128 3 4 2" xfId="7555"/>
    <cellStyle name="Normal 128 3 4 2 2" xfId="16596"/>
    <cellStyle name="Normal 128 3 4 3" xfId="12083"/>
    <cellStyle name="Normal 128 3 5" xfId="4830"/>
    <cellStyle name="Normal 128 3 5 2" xfId="13871"/>
    <cellStyle name="Normal 128 3 6" xfId="9358"/>
    <cellStyle name="Normal 128 4" xfId="453"/>
    <cellStyle name="Normal 128 4 2" xfId="1017"/>
    <cellStyle name="Normal 128 4 2 2" xfId="2187"/>
    <cellStyle name="Normal 128 4 2 2 2" xfId="3044"/>
    <cellStyle name="Normal 128 4 2 2 2 2" xfId="7561"/>
    <cellStyle name="Normal 128 4 2 2 2 2 2" xfId="16602"/>
    <cellStyle name="Normal 128 4 2 2 2 3" xfId="12089"/>
    <cellStyle name="Normal 128 4 2 2 3" xfId="6710"/>
    <cellStyle name="Normal 128 4 2 2 3 2" xfId="15751"/>
    <cellStyle name="Normal 128 4 2 2 4" xfId="11238"/>
    <cellStyle name="Normal 128 4 2 3" xfId="3043"/>
    <cellStyle name="Normal 128 4 2 3 2" xfId="7560"/>
    <cellStyle name="Normal 128 4 2 3 2 2" xfId="16601"/>
    <cellStyle name="Normal 128 4 2 3 3" xfId="12088"/>
    <cellStyle name="Normal 128 4 2 4" xfId="5582"/>
    <cellStyle name="Normal 128 4 2 4 2" xfId="14623"/>
    <cellStyle name="Normal 128 4 2 5" xfId="10110"/>
    <cellStyle name="Normal 128 4 3" xfId="1623"/>
    <cellStyle name="Normal 128 4 3 2" xfId="3045"/>
    <cellStyle name="Normal 128 4 3 2 2" xfId="7562"/>
    <cellStyle name="Normal 128 4 3 2 2 2" xfId="16603"/>
    <cellStyle name="Normal 128 4 3 2 3" xfId="12090"/>
    <cellStyle name="Normal 128 4 3 3" xfId="6146"/>
    <cellStyle name="Normal 128 4 3 3 2" xfId="15187"/>
    <cellStyle name="Normal 128 4 3 4" xfId="10674"/>
    <cellStyle name="Normal 128 4 4" xfId="3042"/>
    <cellStyle name="Normal 128 4 4 2" xfId="7559"/>
    <cellStyle name="Normal 128 4 4 2 2" xfId="16600"/>
    <cellStyle name="Normal 128 4 4 3" xfId="12087"/>
    <cellStyle name="Normal 128 4 5" xfId="5018"/>
    <cellStyle name="Normal 128 4 5 2" xfId="14059"/>
    <cellStyle name="Normal 128 4 6" xfId="9546"/>
    <cellStyle name="Normal 128 5" xfId="641"/>
    <cellStyle name="Normal 128 5 2" xfId="1811"/>
    <cellStyle name="Normal 128 5 2 2" xfId="3047"/>
    <cellStyle name="Normal 128 5 2 2 2" xfId="7564"/>
    <cellStyle name="Normal 128 5 2 2 2 2" xfId="16605"/>
    <cellStyle name="Normal 128 5 2 2 3" xfId="12092"/>
    <cellStyle name="Normal 128 5 2 3" xfId="6334"/>
    <cellStyle name="Normal 128 5 2 3 2" xfId="15375"/>
    <cellStyle name="Normal 128 5 2 4" xfId="10862"/>
    <cellStyle name="Normal 128 5 3" xfId="3046"/>
    <cellStyle name="Normal 128 5 3 2" xfId="7563"/>
    <cellStyle name="Normal 128 5 3 2 2" xfId="16604"/>
    <cellStyle name="Normal 128 5 3 3" xfId="12091"/>
    <cellStyle name="Normal 128 5 4" xfId="5206"/>
    <cellStyle name="Normal 128 5 4 2" xfId="14247"/>
    <cellStyle name="Normal 128 5 5" xfId="9734"/>
    <cellStyle name="Normal 128 6" xfId="1247"/>
    <cellStyle name="Normal 128 6 2" xfId="3048"/>
    <cellStyle name="Normal 128 6 2 2" xfId="7565"/>
    <cellStyle name="Normal 128 6 2 2 2" xfId="16606"/>
    <cellStyle name="Normal 128 6 2 3" xfId="12093"/>
    <cellStyle name="Normal 128 6 3" xfId="5770"/>
    <cellStyle name="Normal 128 6 3 2" xfId="14811"/>
    <cellStyle name="Normal 128 6 4" xfId="10298"/>
    <cellStyle name="Normal 128 7" xfId="3025"/>
    <cellStyle name="Normal 128 7 2" xfId="7542"/>
    <cellStyle name="Normal 128 7 2 2" xfId="16583"/>
    <cellStyle name="Normal 128 7 3" xfId="12070"/>
    <cellStyle name="Normal 128 8" xfId="4642"/>
    <cellStyle name="Normal 128 8 2" xfId="13683"/>
    <cellStyle name="Normal 128 9" xfId="9170"/>
    <cellStyle name="Normal 129" xfId="35"/>
    <cellStyle name="Normal 129 2" xfId="131"/>
    <cellStyle name="Normal 129 2 2" xfId="360"/>
    <cellStyle name="Normal 129 2 2 2" xfId="924"/>
    <cellStyle name="Normal 129 2 2 2 2" xfId="2094"/>
    <cellStyle name="Normal 129 2 2 2 2 2" xfId="3053"/>
    <cellStyle name="Normal 129 2 2 2 2 2 2" xfId="7570"/>
    <cellStyle name="Normal 129 2 2 2 2 2 2 2" xfId="16611"/>
    <cellStyle name="Normal 129 2 2 2 2 2 3" xfId="12098"/>
    <cellStyle name="Normal 129 2 2 2 2 3" xfId="6617"/>
    <cellStyle name="Normal 129 2 2 2 2 3 2" xfId="15658"/>
    <cellStyle name="Normal 129 2 2 2 2 4" xfId="11145"/>
    <cellStyle name="Normal 129 2 2 2 3" xfId="3052"/>
    <cellStyle name="Normal 129 2 2 2 3 2" xfId="7569"/>
    <cellStyle name="Normal 129 2 2 2 3 2 2" xfId="16610"/>
    <cellStyle name="Normal 129 2 2 2 3 3" xfId="12097"/>
    <cellStyle name="Normal 129 2 2 2 4" xfId="5489"/>
    <cellStyle name="Normal 129 2 2 2 4 2" xfId="14530"/>
    <cellStyle name="Normal 129 2 2 2 5" xfId="10017"/>
    <cellStyle name="Normal 129 2 2 3" xfId="1530"/>
    <cellStyle name="Normal 129 2 2 3 2" xfId="3054"/>
    <cellStyle name="Normal 129 2 2 3 2 2" xfId="7571"/>
    <cellStyle name="Normal 129 2 2 3 2 2 2" xfId="16612"/>
    <cellStyle name="Normal 129 2 2 3 2 3" xfId="12099"/>
    <cellStyle name="Normal 129 2 2 3 3" xfId="6053"/>
    <cellStyle name="Normal 129 2 2 3 3 2" xfId="15094"/>
    <cellStyle name="Normal 129 2 2 3 4" xfId="10581"/>
    <cellStyle name="Normal 129 2 2 4" xfId="3051"/>
    <cellStyle name="Normal 129 2 2 4 2" xfId="7568"/>
    <cellStyle name="Normal 129 2 2 4 2 2" xfId="16609"/>
    <cellStyle name="Normal 129 2 2 4 3" xfId="12096"/>
    <cellStyle name="Normal 129 2 2 5" xfId="4925"/>
    <cellStyle name="Normal 129 2 2 5 2" xfId="13966"/>
    <cellStyle name="Normal 129 2 2 6" xfId="9453"/>
    <cellStyle name="Normal 129 2 3" xfId="548"/>
    <cellStyle name="Normal 129 2 3 2" xfId="1112"/>
    <cellStyle name="Normal 129 2 3 2 2" xfId="2282"/>
    <cellStyle name="Normal 129 2 3 2 2 2" xfId="3057"/>
    <cellStyle name="Normal 129 2 3 2 2 2 2" xfId="7574"/>
    <cellStyle name="Normal 129 2 3 2 2 2 2 2" xfId="16615"/>
    <cellStyle name="Normal 129 2 3 2 2 2 3" xfId="12102"/>
    <cellStyle name="Normal 129 2 3 2 2 3" xfId="6805"/>
    <cellStyle name="Normal 129 2 3 2 2 3 2" xfId="15846"/>
    <cellStyle name="Normal 129 2 3 2 2 4" xfId="11333"/>
    <cellStyle name="Normal 129 2 3 2 3" xfId="3056"/>
    <cellStyle name="Normal 129 2 3 2 3 2" xfId="7573"/>
    <cellStyle name="Normal 129 2 3 2 3 2 2" xfId="16614"/>
    <cellStyle name="Normal 129 2 3 2 3 3" xfId="12101"/>
    <cellStyle name="Normal 129 2 3 2 4" xfId="5677"/>
    <cellStyle name="Normal 129 2 3 2 4 2" xfId="14718"/>
    <cellStyle name="Normal 129 2 3 2 5" xfId="10205"/>
    <cellStyle name="Normal 129 2 3 3" xfId="1718"/>
    <cellStyle name="Normal 129 2 3 3 2" xfId="3058"/>
    <cellStyle name="Normal 129 2 3 3 2 2" xfId="7575"/>
    <cellStyle name="Normal 129 2 3 3 2 2 2" xfId="16616"/>
    <cellStyle name="Normal 129 2 3 3 2 3" xfId="12103"/>
    <cellStyle name="Normal 129 2 3 3 3" xfId="6241"/>
    <cellStyle name="Normal 129 2 3 3 3 2" xfId="15282"/>
    <cellStyle name="Normal 129 2 3 3 4" xfId="10769"/>
    <cellStyle name="Normal 129 2 3 4" xfId="3055"/>
    <cellStyle name="Normal 129 2 3 4 2" xfId="7572"/>
    <cellStyle name="Normal 129 2 3 4 2 2" xfId="16613"/>
    <cellStyle name="Normal 129 2 3 4 3" xfId="12100"/>
    <cellStyle name="Normal 129 2 3 5" xfId="5113"/>
    <cellStyle name="Normal 129 2 3 5 2" xfId="14154"/>
    <cellStyle name="Normal 129 2 3 6" xfId="9641"/>
    <cellStyle name="Normal 129 2 4" xfId="736"/>
    <cellStyle name="Normal 129 2 4 2" xfId="1906"/>
    <cellStyle name="Normal 129 2 4 2 2" xfId="3060"/>
    <cellStyle name="Normal 129 2 4 2 2 2" xfId="7577"/>
    <cellStyle name="Normal 129 2 4 2 2 2 2" xfId="16618"/>
    <cellStyle name="Normal 129 2 4 2 2 3" xfId="12105"/>
    <cellStyle name="Normal 129 2 4 2 3" xfId="6429"/>
    <cellStyle name="Normal 129 2 4 2 3 2" xfId="15470"/>
    <cellStyle name="Normal 129 2 4 2 4" xfId="10957"/>
    <cellStyle name="Normal 129 2 4 3" xfId="3059"/>
    <cellStyle name="Normal 129 2 4 3 2" xfId="7576"/>
    <cellStyle name="Normal 129 2 4 3 2 2" xfId="16617"/>
    <cellStyle name="Normal 129 2 4 3 3" xfId="12104"/>
    <cellStyle name="Normal 129 2 4 4" xfId="5301"/>
    <cellStyle name="Normal 129 2 4 4 2" xfId="14342"/>
    <cellStyle name="Normal 129 2 4 5" xfId="9829"/>
    <cellStyle name="Normal 129 2 5" xfId="1342"/>
    <cellStyle name="Normal 129 2 5 2" xfId="3061"/>
    <cellStyle name="Normal 129 2 5 2 2" xfId="7578"/>
    <cellStyle name="Normal 129 2 5 2 2 2" xfId="16619"/>
    <cellStyle name="Normal 129 2 5 2 3" xfId="12106"/>
    <cellStyle name="Normal 129 2 5 3" xfId="5865"/>
    <cellStyle name="Normal 129 2 5 3 2" xfId="14906"/>
    <cellStyle name="Normal 129 2 5 4" xfId="10393"/>
    <cellStyle name="Normal 129 2 6" xfId="3050"/>
    <cellStyle name="Normal 129 2 6 2" xfId="7567"/>
    <cellStyle name="Normal 129 2 6 2 2" xfId="16608"/>
    <cellStyle name="Normal 129 2 6 3" xfId="12095"/>
    <cellStyle name="Normal 129 2 7" xfId="4737"/>
    <cellStyle name="Normal 129 2 7 2" xfId="13778"/>
    <cellStyle name="Normal 129 2 8" xfId="9265"/>
    <cellStyle name="Normal 129 3" xfId="266"/>
    <cellStyle name="Normal 129 3 2" xfId="830"/>
    <cellStyle name="Normal 129 3 2 2" xfId="2000"/>
    <cellStyle name="Normal 129 3 2 2 2" xfId="3064"/>
    <cellStyle name="Normal 129 3 2 2 2 2" xfId="7581"/>
    <cellStyle name="Normal 129 3 2 2 2 2 2" xfId="16622"/>
    <cellStyle name="Normal 129 3 2 2 2 3" xfId="12109"/>
    <cellStyle name="Normal 129 3 2 2 3" xfId="6523"/>
    <cellStyle name="Normal 129 3 2 2 3 2" xfId="15564"/>
    <cellStyle name="Normal 129 3 2 2 4" xfId="11051"/>
    <cellStyle name="Normal 129 3 2 3" xfId="3063"/>
    <cellStyle name="Normal 129 3 2 3 2" xfId="7580"/>
    <cellStyle name="Normal 129 3 2 3 2 2" xfId="16621"/>
    <cellStyle name="Normal 129 3 2 3 3" xfId="12108"/>
    <cellStyle name="Normal 129 3 2 4" xfId="5395"/>
    <cellStyle name="Normal 129 3 2 4 2" xfId="14436"/>
    <cellStyle name="Normal 129 3 2 5" xfId="9923"/>
    <cellStyle name="Normal 129 3 3" xfId="1436"/>
    <cellStyle name="Normal 129 3 3 2" xfId="3065"/>
    <cellStyle name="Normal 129 3 3 2 2" xfId="7582"/>
    <cellStyle name="Normal 129 3 3 2 2 2" xfId="16623"/>
    <cellStyle name="Normal 129 3 3 2 3" xfId="12110"/>
    <cellStyle name="Normal 129 3 3 3" xfId="5959"/>
    <cellStyle name="Normal 129 3 3 3 2" xfId="15000"/>
    <cellStyle name="Normal 129 3 3 4" xfId="10487"/>
    <cellStyle name="Normal 129 3 4" xfId="3062"/>
    <cellStyle name="Normal 129 3 4 2" xfId="7579"/>
    <cellStyle name="Normal 129 3 4 2 2" xfId="16620"/>
    <cellStyle name="Normal 129 3 4 3" xfId="12107"/>
    <cellStyle name="Normal 129 3 5" xfId="4831"/>
    <cellStyle name="Normal 129 3 5 2" xfId="13872"/>
    <cellStyle name="Normal 129 3 6" xfId="9359"/>
    <cellStyle name="Normal 129 4" xfId="454"/>
    <cellStyle name="Normal 129 4 2" xfId="1018"/>
    <cellStyle name="Normal 129 4 2 2" xfId="2188"/>
    <cellStyle name="Normal 129 4 2 2 2" xfId="3068"/>
    <cellStyle name="Normal 129 4 2 2 2 2" xfId="7585"/>
    <cellStyle name="Normal 129 4 2 2 2 2 2" xfId="16626"/>
    <cellStyle name="Normal 129 4 2 2 2 3" xfId="12113"/>
    <cellStyle name="Normal 129 4 2 2 3" xfId="6711"/>
    <cellStyle name="Normal 129 4 2 2 3 2" xfId="15752"/>
    <cellStyle name="Normal 129 4 2 2 4" xfId="11239"/>
    <cellStyle name="Normal 129 4 2 3" xfId="3067"/>
    <cellStyle name="Normal 129 4 2 3 2" xfId="7584"/>
    <cellStyle name="Normal 129 4 2 3 2 2" xfId="16625"/>
    <cellStyle name="Normal 129 4 2 3 3" xfId="12112"/>
    <cellStyle name="Normal 129 4 2 4" xfId="5583"/>
    <cellStyle name="Normal 129 4 2 4 2" xfId="14624"/>
    <cellStyle name="Normal 129 4 2 5" xfId="10111"/>
    <cellStyle name="Normal 129 4 3" xfId="1624"/>
    <cellStyle name="Normal 129 4 3 2" xfId="3069"/>
    <cellStyle name="Normal 129 4 3 2 2" xfId="7586"/>
    <cellStyle name="Normal 129 4 3 2 2 2" xfId="16627"/>
    <cellStyle name="Normal 129 4 3 2 3" xfId="12114"/>
    <cellStyle name="Normal 129 4 3 3" xfId="6147"/>
    <cellStyle name="Normal 129 4 3 3 2" xfId="15188"/>
    <cellStyle name="Normal 129 4 3 4" xfId="10675"/>
    <cellStyle name="Normal 129 4 4" xfId="3066"/>
    <cellStyle name="Normal 129 4 4 2" xfId="7583"/>
    <cellStyle name="Normal 129 4 4 2 2" xfId="16624"/>
    <cellStyle name="Normal 129 4 4 3" xfId="12111"/>
    <cellStyle name="Normal 129 4 5" xfId="5019"/>
    <cellStyle name="Normal 129 4 5 2" xfId="14060"/>
    <cellStyle name="Normal 129 4 6" xfId="9547"/>
    <cellStyle name="Normal 129 5" xfId="642"/>
    <cellStyle name="Normal 129 5 2" xfId="1812"/>
    <cellStyle name="Normal 129 5 2 2" xfId="3071"/>
    <cellStyle name="Normal 129 5 2 2 2" xfId="7588"/>
    <cellStyle name="Normal 129 5 2 2 2 2" xfId="16629"/>
    <cellStyle name="Normal 129 5 2 2 3" xfId="12116"/>
    <cellStyle name="Normal 129 5 2 3" xfId="6335"/>
    <cellStyle name="Normal 129 5 2 3 2" xfId="15376"/>
    <cellStyle name="Normal 129 5 2 4" xfId="10863"/>
    <cellStyle name="Normal 129 5 3" xfId="3070"/>
    <cellStyle name="Normal 129 5 3 2" xfId="7587"/>
    <cellStyle name="Normal 129 5 3 2 2" xfId="16628"/>
    <cellStyle name="Normal 129 5 3 3" xfId="12115"/>
    <cellStyle name="Normal 129 5 4" xfId="5207"/>
    <cellStyle name="Normal 129 5 4 2" xfId="14248"/>
    <cellStyle name="Normal 129 5 5" xfId="9735"/>
    <cellStyle name="Normal 129 6" xfId="1248"/>
    <cellStyle name="Normal 129 6 2" xfId="3072"/>
    <cellStyle name="Normal 129 6 2 2" xfId="7589"/>
    <cellStyle name="Normal 129 6 2 2 2" xfId="16630"/>
    <cellStyle name="Normal 129 6 2 3" xfId="12117"/>
    <cellStyle name="Normal 129 6 3" xfId="5771"/>
    <cellStyle name="Normal 129 6 3 2" xfId="14812"/>
    <cellStyle name="Normal 129 6 4" xfId="10299"/>
    <cellStyle name="Normal 129 7" xfId="3049"/>
    <cellStyle name="Normal 129 7 2" xfId="7566"/>
    <cellStyle name="Normal 129 7 2 2" xfId="16607"/>
    <cellStyle name="Normal 129 7 3" xfId="12094"/>
    <cellStyle name="Normal 129 8" xfId="4643"/>
    <cellStyle name="Normal 129 8 2" xfId="13684"/>
    <cellStyle name="Normal 129 9" xfId="9171"/>
    <cellStyle name="Normal 130" xfId="36"/>
    <cellStyle name="Normal 130 2" xfId="132"/>
    <cellStyle name="Normal 130 2 2" xfId="361"/>
    <cellStyle name="Normal 130 2 2 2" xfId="925"/>
    <cellStyle name="Normal 130 2 2 2 2" xfId="2095"/>
    <cellStyle name="Normal 130 2 2 2 2 2" xfId="3077"/>
    <cellStyle name="Normal 130 2 2 2 2 2 2" xfId="7594"/>
    <cellStyle name="Normal 130 2 2 2 2 2 2 2" xfId="16635"/>
    <cellStyle name="Normal 130 2 2 2 2 2 3" xfId="12122"/>
    <cellStyle name="Normal 130 2 2 2 2 3" xfId="6618"/>
    <cellStyle name="Normal 130 2 2 2 2 3 2" xfId="15659"/>
    <cellStyle name="Normal 130 2 2 2 2 4" xfId="11146"/>
    <cellStyle name="Normal 130 2 2 2 3" xfId="3076"/>
    <cellStyle name="Normal 130 2 2 2 3 2" xfId="7593"/>
    <cellStyle name="Normal 130 2 2 2 3 2 2" xfId="16634"/>
    <cellStyle name="Normal 130 2 2 2 3 3" xfId="12121"/>
    <cellStyle name="Normal 130 2 2 2 4" xfId="5490"/>
    <cellStyle name="Normal 130 2 2 2 4 2" xfId="14531"/>
    <cellStyle name="Normal 130 2 2 2 5" xfId="10018"/>
    <cellStyle name="Normal 130 2 2 3" xfId="1531"/>
    <cellStyle name="Normal 130 2 2 3 2" xfId="3078"/>
    <cellStyle name="Normal 130 2 2 3 2 2" xfId="7595"/>
    <cellStyle name="Normal 130 2 2 3 2 2 2" xfId="16636"/>
    <cellStyle name="Normal 130 2 2 3 2 3" xfId="12123"/>
    <cellStyle name="Normal 130 2 2 3 3" xfId="6054"/>
    <cellStyle name="Normal 130 2 2 3 3 2" xfId="15095"/>
    <cellStyle name="Normal 130 2 2 3 4" xfId="10582"/>
    <cellStyle name="Normal 130 2 2 4" xfId="3075"/>
    <cellStyle name="Normal 130 2 2 4 2" xfId="7592"/>
    <cellStyle name="Normal 130 2 2 4 2 2" xfId="16633"/>
    <cellStyle name="Normal 130 2 2 4 3" xfId="12120"/>
    <cellStyle name="Normal 130 2 2 5" xfId="4926"/>
    <cellStyle name="Normal 130 2 2 5 2" xfId="13967"/>
    <cellStyle name="Normal 130 2 2 6" xfId="9454"/>
    <cellStyle name="Normal 130 2 3" xfId="549"/>
    <cellStyle name="Normal 130 2 3 2" xfId="1113"/>
    <cellStyle name="Normal 130 2 3 2 2" xfId="2283"/>
    <cellStyle name="Normal 130 2 3 2 2 2" xfId="3081"/>
    <cellStyle name="Normal 130 2 3 2 2 2 2" xfId="7598"/>
    <cellStyle name="Normal 130 2 3 2 2 2 2 2" xfId="16639"/>
    <cellStyle name="Normal 130 2 3 2 2 2 3" xfId="12126"/>
    <cellStyle name="Normal 130 2 3 2 2 3" xfId="6806"/>
    <cellStyle name="Normal 130 2 3 2 2 3 2" xfId="15847"/>
    <cellStyle name="Normal 130 2 3 2 2 4" xfId="11334"/>
    <cellStyle name="Normal 130 2 3 2 3" xfId="3080"/>
    <cellStyle name="Normal 130 2 3 2 3 2" xfId="7597"/>
    <cellStyle name="Normal 130 2 3 2 3 2 2" xfId="16638"/>
    <cellStyle name="Normal 130 2 3 2 3 3" xfId="12125"/>
    <cellStyle name="Normal 130 2 3 2 4" xfId="5678"/>
    <cellStyle name="Normal 130 2 3 2 4 2" xfId="14719"/>
    <cellStyle name="Normal 130 2 3 2 5" xfId="10206"/>
    <cellStyle name="Normal 130 2 3 3" xfId="1719"/>
    <cellStyle name="Normal 130 2 3 3 2" xfId="3082"/>
    <cellStyle name="Normal 130 2 3 3 2 2" xfId="7599"/>
    <cellStyle name="Normal 130 2 3 3 2 2 2" xfId="16640"/>
    <cellStyle name="Normal 130 2 3 3 2 3" xfId="12127"/>
    <cellStyle name="Normal 130 2 3 3 3" xfId="6242"/>
    <cellStyle name="Normal 130 2 3 3 3 2" xfId="15283"/>
    <cellStyle name="Normal 130 2 3 3 4" xfId="10770"/>
    <cellStyle name="Normal 130 2 3 4" xfId="3079"/>
    <cellStyle name="Normal 130 2 3 4 2" xfId="7596"/>
    <cellStyle name="Normal 130 2 3 4 2 2" xfId="16637"/>
    <cellStyle name="Normal 130 2 3 4 3" xfId="12124"/>
    <cellStyle name="Normal 130 2 3 5" xfId="5114"/>
    <cellStyle name="Normal 130 2 3 5 2" xfId="14155"/>
    <cellStyle name="Normal 130 2 3 6" xfId="9642"/>
    <cellStyle name="Normal 130 2 4" xfId="737"/>
    <cellStyle name="Normal 130 2 4 2" xfId="1907"/>
    <cellStyle name="Normal 130 2 4 2 2" xfId="3084"/>
    <cellStyle name="Normal 130 2 4 2 2 2" xfId="7601"/>
    <cellStyle name="Normal 130 2 4 2 2 2 2" xfId="16642"/>
    <cellStyle name="Normal 130 2 4 2 2 3" xfId="12129"/>
    <cellStyle name="Normal 130 2 4 2 3" xfId="6430"/>
    <cellStyle name="Normal 130 2 4 2 3 2" xfId="15471"/>
    <cellStyle name="Normal 130 2 4 2 4" xfId="10958"/>
    <cellStyle name="Normal 130 2 4 3" xfId="3083"/>
    <cellStyle name="Normal 130 2 4 3 2" xfId="7600"/>
    <cellStyle name="Normal 130 2 4 3 2 2" xfId="16641"/>
    <cellStyle name="Normal 130 2 4 3 3" xfId="12128"/>
    <cellStyle name="Normal 130 2 4 4" xfId="5302"/>
    <cellStyle name="Normal 130 2 4 4 2" xfId="14343"/>
    <cellStyle name="Normal 130 2 4 5" xfId="9830"/>
    <cellStyle name="Normal 130 2 5" xfId="1343"/>
    <cellStyle name="Normal 130 2 5 2" xfId="3085"/>
    <cellStyle name="Normal 130 2 5 2 2" xfId="7602"/>
    <cellStyle name="Normal 130 2 5 2 2 2" xfId="16643"/>
    <cellStyle name="Normal 130 2 5 2 3" xfId="12130"/>
    <cellStyle name="Normal 130 2 5 3" xfId="5866"/>
    <cellStyle name="Normal 130 2 5 3 2" xfId="14907"/>
    <cellStyle name="Normal 130 2 5 4" xfId="10394"/>
    <cellStyle name="Normal 130 2 6" xfId="3074"/>
    <cellStyle name="Normal 130 2 6 2" xfId="7591"/>
    <cellStyle name="Normal 130 2 6 2 2" xfId="16632"/>
    <cellStyle name="Normal 130 2 6 3" xfId="12119"/>
    <cellStyle name="Normal 130 2 7" xfId="4738"/>
    <cellStyle name="Normal 130 2 7 2" xfId="13779"/>
    <cellStyle name="Normal 130 2 8" xfId="9266"/>
    <cellStyle name="Normal 130 3" xfId="267"/>
    <cellStyle name="Normal 130 3 2" xfId="831"/>
    <cellStyle name="Normal 130 3 2 2" xfId="2001"/>
    <cellStyle name="Normal 130 3 2 2 2" xfId="3088"/>
    <cellStyle name="Normal 130 3 2 2 2 2" xfId="7605"/>
    <cellStyle name="Normal 130 3 2 2 2 2 2" xfId="16646"/>
    <cellStyle name="Normal 130 3 2 2 2 3" xfId="12133"/>
    <cellStyle name="Normal 130 3 2 2 3" xfId="6524"/>
    <cellStyle name="Normal 130 3 2 2 3 2" xfId="15565"/>
    <cellStyle name="Normal 130 3 2 2 4" xfId="11052"/>
    <cellStyle name="Normal 130 3 2 3" xfId="3087"/>
    <cellStyle name="Normal 130 3 2 3 2" xfId="7604"/>
    <cellStyle name="Normal 130 3 2 3 2 2" xfId="16645"/>
    <cellStyle name="Normal 130 3 2 3 3" xfId="12132"/>
    <cellStyle name="Normal 130 3 2 4" xfId="5396"/>
    <cellStyle name="Normal 130 3 2 4 2" xfId="14437"/>
    <cellStyle name="Normal 130 3 2 5" xfId="9924"/>
    <cellStyle name="Normal 130 3 3" xfId="1437"/>
    <cellStyle name="Normal 130 3 3 2" xfId="3089"/>
    <cellStyle name="Normal 130 3 3 2 2" xfId="7606"/>
    <cellStyle name="Normal 130 3 3 2 2 2" xfId="16647"/>
    <cellStyle name="Normal 130 3 3 2 3" xfId="12134"/>
    <cellStyle name="Normal 130 3 3 3" xfId="5960"/>
    <cellStyle name="Normal 130 3 3 3 2" xfId="15001"/>
    <cellStyle name="Normal 130 3 3 4" xfId="10488"/>
    <cellStyle name="Normal 130 3 4" xfId="3086"/>
    <cellStyle name="Normal 130 3 4 2" xfId="7603"/>
    <cellStyle name="Normal 130 3 4 2 2" xfId="16644"/>
    <cellStyle name="Normal 130 3 4 3" xfId="12131"/>
    <cellStyle name="Normal 130 3 5" xfId="4832"/>
    <cellStyle name="Normal 130 3 5 2" xfId="13873"/>
    <cellStyle name="Normal 130 3 6" xfId="9360"/>
    <cellStyle name="Normal 130 4" xfId="455"/>
    <cellStyle name="Normal 130 4 2" xfId="1019"/>
    <cellStyle name="Normal 130 4 2 2" xfId="2189"/>
    <cellStyle name="Normal 130 4 2 2 2" xfId="3092"/>
    <cellStyle name="Normal 130 4 2 2 2 2" xfId="7609"/>
    <cellStyle name="Normal 130 4 2 2 2 2 2" xfId="16650"/>
    <cellStyle name="Normal 130 4 2 2 2 3" xfId="12137"/>
    <cellStyle name="Normal 130 4 2 2 3" xfId="6712"/>
    <cellStyle name="Normal 130 4 2 2 3 2" xfId="15753"/>
    <cellStyle name="Normal 130 4 2 2 4" xfId="11240"/>
    <cellStyle name="Normal 130 4 2 3" xfId="3091"/>
    <cellStyle name="Normal 130 4 2 3 2" xfId="7608"/>
    <cellStyle name="Normal 130 4 2 3 2 2" xfId="16649"/>
    <cellStyle name="Normal 130 4 2 3 3" xfId="12136"/>
    <cellStyle name="Normal 130 4 2 4" xfId="5584"/>
    <cellStyle name="Normal 130 4 2 4 2" xfId="14625"/>
    <cellStyle name="Normal 130 4 2 5" xfId="10112"/>
    <cellStyle name="Normal 130 4 3" xfId="1625"/>
    <cellStyle name="Normal 130 4 3 2" xfId="3093"/>
    <cellStyle name="Normal 130 4 3 2 2" xfId="7610"/>
    <cellStyle name="Normal 130 4 3 2 2 2" xfId="16651"/>
    <cellStyle name="Normal 130 4 3 2 3" xfId="12138"/>
    <cellStyle name="Normal 130 4 3 3" xfId="6148"/>
    <cellStyle name="Normal 130 4 3 3 2" xfId="15189"/>
    <cellStyle name="Normal 130 4 3 4" xfId="10676"/>
    <cellStyle name="Normal 130 4 4" xfId="3090"/>
    <cellStyle name="Normal 130 4 4 2" xfId="7607"/>
    <cellStyle name="Normal 130 4 4 2 2" xfId="16648"/>
    <cellStyle name="Normal 130 4 4 3" xfId="12135"/>
    <cellStyle name="Normal 130 4 5" xfId="5020"/>
    <cellStyle name="Normal 130 4 5 2" xfId="14061"/>
    <cellStyle name="Normal 130 4 6" xfId="9548"/>
    <cellStyle name="Normal 130 5" xfId="643"/>
    <cellStyle name="Normal 130 5 2" xfId="1813"/>
    <cellStyle name="Normal 130 5 2 2" xfId="3095"/>
    <cellStyle name="Normal 130 5 2 2 2" xfId="7612"/>
    <cellStyle name="Normal 130 5 2 2 2 2" xfId="16653"/>
    <cellStyle name="Normal 130 5 2 2 3" xfId="12140"/>
    <cellStyle name="Normal 130 5 2 3" xfId="6336"/>
    <cellStyle name="Normal 130 5 2 3 2" xfId="15377"/>
    <cellStyle name="Normal 130 5 2 4" xfId="10864"/>
    <cellStyle name="Normal 130 5 3" xfId="3094"/>
    <cellStyle name="Normal 130 5 3 2" xfId="7611"/>
    <cellStyle name="Normal 130 5 3 2 2" xfId="16652"/>
    <cellStyle name="Normal 130 5 3 3" xfId="12139"/>
    <cellStyle name="Normal 130 5 4" xfId="5208"/>
    <cellStyle name="Normal 130 5 4 2" xfId="14249"/>
    <cellStyle name="Normal 130 5 5" xfId="9736"/>
    <cellStyle name="Normal 130 6" xfId="1249"/>
    <cellStyle name="Normal 130 6 2" xfId="3096"/>
    <cellStyle name="Normal 130 6 2 2" xfId="7613"/>
    <cellStyle name="Normal 130 6 2 2 2" xfId="16654"/>
    <cellStyle name="Normal 130 6 2 3" xfId="12141"/>
    <cellStyle name="Normal 130 6 3" xfId="5772"/>
    <cellStyle name="Normal 130 6 3 2" xfId="14813"/>
    <cellStyle name="Normal 130 6 4" xfId="10300"/>
    <cellStyle name="Normal 130 7" xfId="3073"/>
    <cellStyle name="Normal 130 7 2" xfId="7590"/>
    <cellStyle name="Normal 130 7 2 2" xfId="16631"/>
    <cellStyle name="Normal 130 7 3" xfId="12118"/>
    <cellStyle name="Normal 130 8" xfId="4644"/>
    <cellStyle name="Normal 130 8 2" xfId="13685"/>
    <cellStyle name="Normal 130 9" xfId="9172"/>
    <cellStyle name="Normal 131" xfId="37"/>
    <cellStyle name="Normal 131 2" xfId="133"/>
    <cellStyle name="Normal 131 2 2" xfId="362"/>
    <cellStyle name="Normal 131 2 2 2" xfId="926"/>
    <cellStyle name="Normal 131 2 2 2 2" xfId="2096"/>
    <cellStyle name="Normal 131 2 2 2 2 2" xfId="3101"/>
    <cellStyle name="Normal 131 2 2 2 2 2 2" xfId="7618"/>
    <cellStyle name="Normal 131 2 2 2 2 2 2 2" xfId="16659"/>
    <cellStyle name="Normal 131 2 2 2 2 2 3" xfId="12146"/>
    <cellStyle name="Normal 131 2 2 2 2 3" xfId="6619"/>
    <cellStyle name="Normal 131 2 2 2 2 3 2" xfId="15660"/>
    <cellStyle name="Normal 131 2 2 2 2 4" xfId="11147"/>
    <cellStyle name="Normal 131 2 2 2 3" xfId="3100"/>
    <cellStyle name="Normal 131 2 2 2 3 2" xfId="7617"/>
    <cellStyle name="Normal 131 2 2 2 3 2 2" xfId="16658"/>
    <cellStyle name="Normal 131 2 2 2 3 3" xfId="12145"/>
    <cellStyle name="Normal 131 2 2 2 4" xfId="5491"/>
    <cellStyle name="Normal 131 2 2 2 4 2" xfId="14532"/>
    <cellStyle name="Normal 131 2 2 2 5" xfId="10019"/>
    <cellStyle name="Normal 131 2 2 3" xfId="1532"/>
    <cellStyle name="Normal 131 2 2 3 2" xfId="3102"/>
    <cellStyle name="Normal 131 2 2 3 2 2" xfId="7619"/>
    <cellStyle name="Normal 131 2 2 3 2 2 2" xfId="16660"/>
    <cellStyle name="Normal 131 2 2 3 2 3" xfId="12147"/>
    <cellStyle name="Normal 131 2 2 3 3" xfId="6055"/>
    <cellStyle name="Normal 131 2 2 3 3 2" xfId="15096"/>
    <cellStyle name="Normal 131 2 2 3 4" xfId="10583"/>
    <cellStyle name="Normal 131 2 2 4" xfId="3099"/>
    <cellStyle name="Normal 131 2 2 4 2" xfId="7616"/>
    <cellStyle name="Normal 131 2 2 4 2 2" xfId="16657"/>
    <cellStyle name="Normal 131 2 2 4 3" xfId="12144"/>
    <cellStyle name="Normal 131 2 2 5" xfId="4927"/>
    <cellStyle name="Normal 131 2 2 5 2" xfId="13968"/>
    <cellStyle name="Normal 131 2 2 6" xfId="9455"/>
    <cellStyle name="Normal 131 2 3" xfId="550"/>
    <cellStyle name="Normal 131 2 3 2" xfId="1114"/>
    <cellStyle name="Normal 131 2 3 2 2" xfId="2284"/>
    <cellStyle name="Normal 131 2 3 2 2 2" xfId="3105"/>
    <cellStyle name="Normal 131 2 3 2 2 2 2" xfId="7622"/>
    <cellStyle name="Normal 131 2 3 2 2 2 2 2" xfId="16663"/>
    <cellStyle name="Normal 131 2 3 2 2 2 3" xfId="12150"/>
    <cellStyle name="Normal 131 2 3 2 2 3" xfId="6807"/>
    <cellStyle name="Normal 131 2 3 2 2 3 2" xfId="15848"/>
    <cellStyle name="Normal 131 2 3 2 2 4" xfId="11335"/>
    <cellStyle name="Normal 131 2 3 2 3" xfId="3104"/>
    <cellStyle name="Normal 131 2 3 2 3 2" xfId="7621"/>
    <cellStyle name="Normal 131 2 3 2 3 2 2" xfId="16662"/>
    <cellStyle name="Normal 131 2 3 2 3 3" xfId="12149"/>
    <cellStyle name="Normal 131 2 3 2 4" xfId="5679"/>
    <cellStyle name="Normal 131 2 3 2 4 2" xfId="14720"/>
    <cellStyle name="Normal 131 2 3 2 5" xfId="10207"/>
    <cellStyle name="Normal 131 2 3 3" xfId="1720"/>
    <cellStyle name="Normal 131 2 3 3 2" xfId="3106"/>
    <cellStyle name="Normal 131 2 3 3 2 2" xfId="7623"/>
    <cellStyle name="Normal 131 2 3 3 2 2 2" xfId="16664"/>
    <cellStyle name="Normal 131 2 3 3 2 3" xfId="12151"/>
    <cellStyle name="Normal 131 2 3 3 3" xfId="6243"/>
    <cellStyle name="Normal 131 2 3 3 3 2" xfId="15284"/>
    <cellStyle name="Normal 131 2 3 3 4" xfId="10771"/>
    <cellStyle name="Normal 131 2 3 4" xfId="3103"/>
    <cellStyle name="Normal 131 2 3 4 2" xfId="7620"/>
    <cellStyle name="Normal 131 2 3 4 2 2" xfId="16661"/>
    <cellStyle name="Normal 131 2 3 4 3" xfId="12148"/>
    <cellStyle name="Normal 131 2 3 5" xfId="5115"/>
    <cellStyle name="Normal 131 2 3 5 2" xfId="14156"/>
    <cellStyle name="Normal 131 2 3 6" xfId="9643"/>
    <cellStyle name="Normal 131 2 4" xfId="738"/>
    <cellStyle name="Normal 131 2 4 2" xfId="1908"/>
    <cellStyle name="Normal 131 2 4 2 2" xfId="3108"/>
    <cellStyle name="Normal 131 2 4 2 2 2" xfId="7625"/>
    <cellStyle name="Normal 131 2 4 2 2 2 2" xfId="16666"/>
    <cellStyle name="Normal 131 2 4 2 2 3" xfId="12153"/>
    <cellStyle name="Normal 131 2 4 2 3" xfId="6431"/>
    <cellStyle name="Normal 131 2 4 2 3 2" xfId="15472"/>
    <cellStyle name="Normal 131 2 4 2 4" xfId="10959"/>
    <cellStyle name="Normal 131 2 4 3" xfId="3107"/>
    <cellStyle name="Normal 131 2 4 3 2" xfId="7624"/>
    <cellStyle name="Normal 131 2 4 3 2 2" xfId="16665"/>
    <cellStyle name="Normal 131 2 4 3 3" xfId="12152"/>
    <cellStyle name="Normal 131 2 4 4" xfId="5303"/>
    <cellStyle name="Normal 131 2 4 4 2" xfId="14344"/>
    <cellStyle name="Normal 131 2 4 5" xfId="9831"/>
    <cellStyle name="Normal 131 2 5" xfId="1344"/>
    <cellStyle name="Normal 131 2 5 2" xfId="3109"/>
    <cellStyle name="Normal 131 2 5 2 2" xfId="7626"/>
    <cellStyle name="Normal 131 2 5 2 2 2" xfId="16667"/>
    <cellStyle name="Normal 131 2 5 2 3" xfId="12154"/>
    <cellStyle name="Normal 131 2 5 3" xfId="5867"/>
    <cellStyle name="Normal 131 2 5 3 2" xfId="14908"/>
    <cellStyle name="Normal 131 2 5 4" xfId="10395"/>
    <cellStyle name="Normal 131 2 6" xfId="3098"/>
    <cellStyle name="Normal 131 2 6 2" xfId="7615"/>
    <cellStyle name="Normal 131 2 6 2 2" xfId="16656"/>
    <cellStyle name="Normal 131 2 6 3" xfId="12143"/>
    <cellStyle name="Normal 131 2 7" xfId="4739"/>
    <cellStyle name="Normal 131 2 7 2" xfId="13780"/>
    <cellStyle name="Normal 131 2 8" xfId="9267"/>
    <cellStyle name="Normal 131 3" xfId="268"/>
    <cellStyle name="Normal 131 3 2" xfId="832"/>
    <cellStyle name="Normal 131 3 2 2" xfId="2002"/>
    <cellStyle name="Normal 131 3 2 2 2" xfId="3112"/>
    <cellStyle name="Normal 131 3 2 2 2 2" xfId="7629"/>
    <cellStyle name="Normal 131 3 2 2 2 2 2" xfId="16670"/>
    <cellStyle name="Normal 131 3 2 2 2 3" xfId="12157"/>
    <cellStyle name="Normal 131 3 2 2 3" xfId="6525"/>
    <cellStyle name="Normal 131 3 2 2 3 2" xfId="15566"/>
    <cellStyle name="Normal 131 3 2 2 4" xfId="11053"/>
    <cellStyle name="Normal 131 3 2 3" xfId="3111"/>
    <cellStyle name="Normal 131 3 2 3 2" xfId="7628"/>
    <cellStyle name="Normal 131 3 2 3 2 2" xfId="16669"/>
    <cellStyle name="Normal 131 3 2 3 3" xfId="12156"/>
    <cellStyle name="Normal 131 3 2 4" xfId="5397"/>
    <cellStyle name="Normal 131 3 2 4 2" xfId="14438"/>
    <cellStyle name="Normal 131 3 2 5" xfId="9925"/>
    <cellStyle name="Normal 131 3 3" xfId="1438"/>
    <cellStyle name="Normal 131 3 3 2" xfId="3113"/>
    <cellStyle name="Normal 131 3 3 2 2" xfId="7630"/>
    <cellStyle name="Normal 131 3 3 2 2 2" xfId="16671"/>
    <cellStyle name="Normal 131 3 3 2 3" xfId="12158"/>
    <cellStyle name="Normal 131 3 3 3" xfId="5961"/>
    <cellStyle name="Normal 131 3 3 3 2" xfId="15002"/>
    <cellStyle name="Normal 131 3 3 4" xfId="10489"/>
    <cellStyle name="Normal 131 3 4" xfId="3110"/>
    <cellStyle name="Normal 131 3 4 2" xfId="7627"/>
    <cellStyle name="Normal 131 3 4 2 2" xfId="16668"/>
    <cellStyle name="Normal 131 3 4 3" xfId="12155"/>
    <cellStyle name="Normal 131 3 5" xfId="4833"/>
    <cellStyle name="Normal 131 3 5 2" xfId="13874"/>
    <cellStyle name="Normal 131 3 6" xfId="9361"/>
    <cellStyle name="Normal 131 4" xfId="456"/>
    <cellStyle name="Normal 131 4 2" xfId="1020"/>
    <cellStyle name="Normal 131 4 2 2" xfId="2190"/>
    <cellStyle name="Normal 131 4 2 2 2" xfId="3116"/>
    <cellStyle name="Normal 131 4 2 2 2 2" xfId="7633"/>
    <cellStyle name="Normal 131 4 2 2 2 2 2" xfId="16674"/>
    <cellStyle name="Normal 131 4 2 2 2 3" xfId="12161"/>
    <cellStyle name="Normal 131 4 2 2 3" xfId="6713"/>
    <cellStyle name="Normal 131 4 2 2 3 2" xfId="15754"/>
    <cellStyle name="Normal 131 4 2 2 4" xfId="11241"/>
    <cellStyle name="Normal 131 4 2 3" xfId="3115"/>
    <cellStyle name="Normal 131 4 2 3 2" xfId="7632"/>
    <cellStyle name="Normal 131 4 2 3 2 2" xfId="16673"/>
    <cellStyle name="Normal 131 4 2 3 3" xfId="12160"/>
    <cellStyle name="Normal 131 4 2 4" xfId="5585"/>
    <cellStyle name="Normal 131 4 2 4 2" xfId="14626"/>
    <cellStyle name="Normal 131 4 2 5" xfId="10113"/>
    <cellStyle name="Normal 131 4 3" xfId="1626"/>
    <cellStyle name="Normal 131 4 3 2" xfId="3117"/>
    <cellStyle name="Normal 131 4 3 2 2" xfId="7634"/>
    <cellStyle name="Normal 131 4 3 2 2 2" xfId="16675"/>
    <cellStyle name="Normal 131 4 3 2 3" xfId="12162"/>
    <cellStyle name="Normal 131 4 3 3" xfId="6149"/>
    <cellStyle name="Normal 131 4 3 3 2" xfId="15190"/>
    <cellStyle name="Normal 131 4 3 4" xfId="10677"/>
    <cellStyle name="Normal 131 4 4" xfId="3114"/>
    <cellStyle name="Normal 131 4 4 2" xfId="7631"/>
    <cellStyle name="Normal 131 4 4 2 2" xfId="16672"/>
    <cellStyle name="Normal 131 4 4 3" xfId="12159"/>
    <cellStyle name="Normal 131 4 5" xfId="5021"/>
    <cellStyle name="Normal 131 4 5 2" xfId="14062"/>
    <cellStyle name="Normal 131 4 6" xfId="9549"/>
    <cellStyle name="Normal 131 5" xfId="644"/>
    <cellStyle name="Normal 131 5 2" xfId="1814"/>
    <cellStyle name="Normal 131 5 2 2" xfId="3119"/>
    <cellStyle name="Normal 131 5 2 2 2" xfId="7636"/>
    <cellStyle name="Normal 131 5 2 2 2 2" xfId="16677"/>
    <cellStyle name="Normal 131 5 2 2 3" xfId="12164"/>
    <cellStyle name="Normal 131 5 2 3" xfId="6337"/>
    <cellStyle name="Normal 131 5 2 3 2" xfId="15378"/>
    <cellStyle name="Normal 131 5 2 4" xfId="10865"/>
    <cellStyle name="Normal 131 5 3" xfId="3118"/>
    <cellStyle name="Normal 131 5 3 2" xfId="7635"/>
    <cellStyle name="Normal 131 5 3 2 2" xfId="16676"/>
    <cellStyle name="Normal 131 5 3 3" xfId="12163"/>
    <cellStyle name="Normal 131 5 4" xfId="5209"/>
    <cellStyle name="Normal 131 5 4 2" xfId="14250"/>
    <cellStyle name="Normal 131 5 5" xfId="9737"/>
    <cellStyle name="Normal 131 6" xfId="1250"/>
    <cellStyle name="Normal 131 6 2" xfId="3120"/>
    <cellStyle name="Normal 131 6 2 2" xfId="7637"/>
    <cellStyle name="Normal 131 6 2 2 2" xfId="16678"/>
    <cellStyle name="Normal 131 6 2 3" xfId="12165"/>
    <cellStyle name="Normal 131 6 3" xfId="5773"/>
    <cellStyle name="Normal 131 6 3 2" xfId="14814"/>
    <cellStyle name="Normal 131 6 4" xfId="10301"/>
    <cellStyle name="Normal 131 7" xfId="3097"/>
    <cellStyle name="Normal 131 7 2" xfId="7614"/>
    <cellStyle name="Normal 131 7 2 2" xfId="16655"/>
    <cellStyle name="Normal 131 7 3" xfId="12142"/>
    <cellStyle name="Normal 131 8" xfId="4645"/>
    <cellStyle name="Normal 131 8 2" xfId="13686"/>
    <cellStyle name="Normal 131 9" xfId="9173"/>
    <cellStyle name="Normal 2" xfId="2"/>
    <cellStyle name="Normal 2 2" xfId="3122"/>
    <cellStyle name="Normal 2 2 2" xfId="9128"/>
    <cellStyle name="Normal 2 2 2 2" xfId="18169"/>
    <cellStyle name="Normal 2 3" xfId="3121"/>
    <cellStyle name="Normal 2 3 2" xfId="9130"/>
    <cellStyle name="Normal 2 4" xfId="9138"/>
    <cellStyle name="Normal 2 4 2" xfId="18175"/>
    <cellStyle name="Normal 3" xfId="101"/>
    <cellStyle name="Normal 3 2" xfId="9127"/>
    <cellStyle name="Normal 3 2 2" xfId="18168"/>
    <cellStyle name="Normal 3 3" xfId="9131"/>
    <cellStyle name="Normal 3 3 2" xfId="18170"/>
    <cellStyle name="Normal 36" xfId="38"/>
    <cellStyle name="Normal 36 2" xfId="134"/>
    <cellStyle name="Normal 36 2 2" xfId="363"/>
    <cellStyle name="Normal 36 2 2 2" xfId="927"/>
    <cellStyle name="Normal 36 2 2 2 2" xfId="2097"/>
    <cellStyle name="Normal 36 2 2 2 2 2" xfId="3127"/>
    <cellStyle name="Normal 36 2 2 2 2 2 2" xfId="7642"/>
    <cellStyle name="Normal 36 2 2 2 2 2 2 2" xfId="16683"/>
    <cellStyle name="Normal 36 2 2 2 2 2 3" xfId="12170"/>
    <cellStyle name="Normal 36 2 2 2 2 3" xfId="6620"/>
    <cellStyle name="Normal 36 2 2 2 2 3 2" xfId="15661"/>
    <cellStyle name="Normal 36 2 2 2 2 4" xfId="11148"/>
    <cellStyle name="Normal 36 2 2 2 3" xfId="3126"/>
    <cellStyle name="Normal 36 2 2 2 3 2" xfId="7641"/>
    <cellStyle name="Normal 36 2 2 2 3 2 2" xfId="16682"/>
    <cellStyle name="Normal 36 2 2 2 3 3" xfId="12169"/>
    <cellStyle name="Normal 36 2 2 2 4" xfId="5492"/>
    <cellStyle name="Normal 36 2 2 2 4 2" xfId="14533"/>
    <cellStyle name="Normal 36 2 2 2 5" xfId="10020"/>
    <cellStyle name="Normal 36 2 2 3" xfId="1533"/>
    <cellStyle name="Normal 36 2 2 3 2" xfId="3128"/>
    <cellStyle name="Normal 36 2 2 3 2 2" xfId="7643"/>
    <cellStyle name="Normal 36 2 2 3 2 2 2" xfId="16684"/>
    <cellStyle name="Normal 36 2 2 3 2 3" xfId="12171"/>
    <cellStyle name="Normal 36 2 2 3 3" xfId="6056"/>
    <cellStyle name="Normal 36 2 2 3 3 2" xfId="15097"/>
    <cellStyle name="Normal 36 2 2 3 4" xfId="10584"/>
    <cellStyle name="Normal 36 2 2 4" xfId="3125"/>
    <cellStyle name="Normal 36 2 2 4 2" xfId="7640"/>
    <cellStyle name="Normal 36 2 2 4 2 2" xfId="16681"/>
    <cellStyle name="Normal 36 2 2 4 3" xfId="12168"/>
    <cellStyle name="Normal 36 2 2 5" xfId="4928"/>
    <cellStyle name="Normal 36 2 2 5 2" xfId="13969"/>
    <cellStyle name="Normal 36 2 2 6" xfId="9456"/>
    <cellStyle name="Normal 36 2 3" xfId="551"/>
    <cellStyle name="Normal 36 2 3 2" xfId="1115"/>
    <cellStyle name="Normal 36 2 3 2 2" xfId="2285"/>
    <cellStyle name="Normal 36 2 3 2 2 2" xfId="3131"/>
    <cellStyle name="Normal 36 2 3 2 2 2 2" xfId="7646"/>
    <cellStyle name="Normal 36 2 3 2 2 2 2 2" xfId="16687"/>
    <cellStyle name="Normal 36 2 3 2 2 2 3" xfId="12174"/>
    <cellStyle name="Normal 36 2 3 2 2 3" xfId="6808"/>
    <cellStyle name="Normal 36 2 3 2 2 3 2" xfId="15849"/>
    <cellStyle name="Normal 36 2 3 2 2 4" xfId="11336"/>
    <cellStyle name="Normal 36 2 3 2 3" xfId="3130"/>
    <cellStyle name="Normal 36 2 3 2 3 2" xfId="7645"/>
    <cellStyle name="Normal 36 2 3 2 3 2 2" xfId="16686"/>
    <cellStyle name="Normal 36 2 3 2 3 3" xfId="12173"/>
    <cellStyle name="Normal 36 2 3 2 4" xfId="5680"/>
    <cellStyle name="Normal 36 2 3 2 4 2" xfId="14721"/>
    <cellStyle name="Normal 36 2 3 2 5" xfId="10208"/>
    <cellStyle name="Normal 36 2 3 3" xfId="1721"/>
    <cellStyle name="Normal 36 2 3 3 2" xfId="3132"/>
    <cellStyle name="Normal 36 2 3 3 2 2" xfId="7647"/>
    <cellStyle name="Normal 36 2 3 3 2 2 2" xfId="16688"/>
    <cellStyle name="Normal 36 2 3 3 2 3" xfId="12175"/>
    <cellStyle name="Normal 36 2 3 3 3" xfId="6244"/>
    <cellStyle name="Normal 36 2 3 3 3 2" xfId="15285"/>
    <cellStyle name="Normal 36 2 3 3 4" xfId="10772"/>
    <cellStyle name="Normal 36 2 3 4" xfId="3129"/>
    <cellStyle name="Normal 36 2 3 4 2" xfId="7644"/>
    <cellStyle name="Normal 36 2 3 4 2 2" xfId="16685"/>
    <cellStyle name="Normal 36 2 3 4 3" xfId="12172"/>
    <cellStyle name="Normal 36 2 3 5" xfId="5116"/>
    <cellStyle name="Normal 36 2 3 5 2" xfId="14157"/>
    <cellStyle name="Normal 36 2 3 6" xfId="9644"/>
    <cellStyle name="Normal 36 2 4" xfId="739"/>
    <cellStyle name="Normal 36 2 4 2" xfId="1909"/>
    <cellStyle name="Normal 36 2 4 2 2" xfId="3134"/>
    <cellStyle name="Normal 36 2 4 2 2 2" xfId="7649"/>
    <cellStyle name="Normal 36 2 4 2 2 2 2" xfId="16690"/>
    <cellStyle name="Normal 36 2 4 2 2 3" xfId="12177"/>
    <cellStyle name="Normal 36 2 4 2 3" xfId="6432"/>
    <cellStyle name="Normal 36 2 4 2 3 2" xfId="15473"/>
    <cellStyle name="Normal 36 2 4 2 4" xfId="10960"/>
    <cellStyle name="Normal 36 2 4 3" xfId="3133"/>
    <cellStyle name="Normal 36 2 4 3 2" xfId="7648"/>
    <cellStyle name="Normal 36 2 4 3 2 2" xfId="16689"/>
    <cellStyle name="Normal 36 2 4 3 3" xfId="12176"/>
    <cellStyle name="Normal 36 2 4 4" xfId="5304"/>
    <cellStyle name="Normal 36 2 4 4 2" xfId="14345"/>
    <cellStyle name="Normal 36 2 4 5" xfId="9832"/>
    <cellStyle name="Normal 36 2 5" xfId="1345"/>
    <cellStyle name="Normal 36 2 5 2" xfId="3135"/>
    <cellStyle name="Normal 36 2 5 2 2" xfId="7650"/>
    <cellStyle name="Normal 36 2 5 2 2 2" xfId="16691"/>
    <cellStyle name="Normal 36 2 5 2 3" xfId="12178"/>
    <cellStyle name="Normal 36 2 5 3" xfId="5868"/>
    <cellStyle name="Normal 36 2 5 3 2" xfId="14909"/>
    <cellStyle name="Normal 36 2 5 4" xfId="10396"/>
    <cellStyle name="Normal 36 2 6" xfId="3124"/>
    <cellStyle name="Normal 36 2 6 2" xfId="7639"/>
    <cellStyle name="Normal 36 2 6 2 2" xfId="16680"/>
    <cellStyle name="Normal 36 2 6 3" xfId="12167"/>
    <cellStyle name="Normal 36 2 7" xfId="4740"/>
    <cellStyle name="Normal 36 2 7 2" xfId="13781"/>
    <cellStyle name="Normal 36 2 8" xfId="9268"/>
    <cellStyle name="Normal 36 3" xfId="269"/>
    <cellStyle name="Normal 36 3 2" xfId="833"/>
    <cellStyle name="Normal 36 3 2 2" xfId="2003"/>
    <cellStyle name="Normal 36 3 2 2 2" xfId="3138"/>
    <cellStyle name="Normal 36 3 2 2 2 2" xfId="7653"/>
    <cellStyle name="Normal 36 3 2 2 2 2 2" xfId="16694"/>
    <cellStyle name="Normal 36 3 2 2 2 3" xfId="12181"/>
    <cellStyle name="Normal 36 3 2 2 3" xfId="6526"/>
    <cellStyle name="Normal 36 3 2 2 3 2" xfId="15567"/>
    <cellStyle name="Normal 36 3 2 2 4" xfId="11054"/>
    <cellStyle name="Normal 36 3 2 3" xfId="3137"/>
    <cellStyle name="Normal 36 3 2 3 2" xfId="7652"/>
    <cellStyle name="Normal 36 3 2 3 2 2" xfId="16693"/>
    <cellStyle name="Normal 36 3 2 3 3" xfId="12180"/>
    <cellStyle name="Normal 36 3 2 4" xfId="5398"/>
    <cellStyle name="Normal 36 3 2 4 2" xfId="14439"/>
    <cellStyle name="Normal 36 3 2 5" xfId="9926"/>
    <cellStyle name="Normal 36 3 3" xfId="1439"/>
    <cellStyle name="Normal 36 3 3 2" xfId="3139"/>
    <cellStyle name="Normal 36 3 3 2 2" xfId="7654"/>
    <cellStyle name="Normal 36 3 3 2 2 2" xfId="16695"/>
    <cellStyle name="Normal 36 3 3 2 3" xfId="12182"/>
    <cellStyle name="Normal 36 3 3 3" xfId="5962"/>
    <cellStyle name="Normal 36 3 3 3 2" xfId="15003"/>
    <cellStyle name="Normal 36 3 3 4" xfId="10490"/>
    <cellStyle name="Normal 36 3 4" xfId="3136"/>
    <cellStyle name="Normal 36 3 4 2" xfId="7651"/>
    <cellStyle name="Normal 36 3 4 2 2" xfId="16692"/>
    <cellStyle name="Normal 36 3 4 3" xfId="12179"/>
    <cellStyle name="Normal 36 3 5" xfId="4834"/>
    <cellStyle name="Normal 36 3 5 2" xfId="13875"/>
    <cellStyle name="Normal 36 3 6" xfId="9362"/>
    <cellStyle name="Normal 36 4" xfId="457"/>
    <cellStyle name="Normal 36 4 2" xfId="1021"/>
    <cellStyle name="Normal 36 4 2 2" xfId="2191"/>
    <cellStyle name="Normal 36 4 2 2 2" xfId="3142"/>
    <cellStyle name="Normal 36 4 2 2 2 2" xfId="7657"/>
    <cellStyle name="Normal 36 4 2 2 2 2 2" xfId="16698"/>
    <cellStyle name="Normal 36 4 2 2 2 3" xfId="12185"/>
    <cellStyle name="Normal 36 4 2 2 3" xfId="6714"/>
    <cellStyle name="Normal 36 4 2 2 3 2" xfId="15755"/>
    <cellStyle name="Normal 36 4 2 2 4" xfId="11242"/>
    <cellStyle name="Normal 36 4 2 3" xfId="3141"/>
    <cellStyle name="Normal 36 4 2 3 2" xfId="7656"/>
    <cellStyle name="Normal 36 4 2 3 2 2" xfId="16697"/>
    <cellStyle name="Normal 36 4 2 3 3" xfId="12184"/>
    <cellStyle name="Normal 36 4 2 4" xfId="5586"/>
    <cellStyle name="Normal 36 4 2 4 2" xfId="14627"/>
    <cellStyle name="Normal 36 4 2 5" xfId="10114"/>
    <cellStyle name="Normal 36 4 3" xfId="1627"/>
    <cellStyle name="Normal 36 4 3 2" xfId="3143"/>
    <cellStyle name="Normal 36 4 3 2 2" xfId="7658"/>
    <cellStyle name="Normal 36 4 3 2 2 2" xfId="16699"/>
    <cellStyle name="Normal 36 4 3 2 3" xfId="12186"/>
    <cellStyle name="Normal 36 4 3 3" xfId="6150"/>
    <cellStyle name="Normal 36 4 3 3 2" xfId="15191"/>
    <cellStyle name="Normal 36 4 3 4" xfId="10678"/>
    <cellStyle name="Normal 36 4 4" xfId="3140"/>
    <cellStyle name="Normal 36 4 4 2" xfId="7655"/>
    <cellStyle name="Normal 36 4 4 2 2" xfId="16696"/>
    <cellStyle name="Normal 36 4 4 3" xfId="12183"/>
    <cellStyle name="Normal 36 4 5" xfId="5022"/>
    <cellStyle name="Normal 36 4 5 2" xfId="14063"/>
    <cellStyle name="Normal 36 4 6" xfId="9550"/>
    <cellStyle name="Normal 36 5" xfId="645"/>
    <cellStyle name="Normal 36 5 2" xfId="1815"/>
    <cellStyle name="Normal 36 5 2 2" xfId="3145"/>
    <cellStyle name="Normal 36 5 2 2 2" xfId="7660"/>
    <cellStyle name="Normal 36 5 2 2 2 2" xfId="16701"/>
    <cellStyle name="Normal 36 5 2 2 3" xfId="12188"/>
    <cellStyle name="Normal 36 5 2 3" xfId="6338"/>
    <cellStyle name="Normal 36 5 2 3 2" xfId="15379"/>
    <cellStyle name="Normal 36 5 2 4" xfId="10866"/>
    <cellStyle name="Normal 36 5 3" xfId="3144"/>
    <cellStyle name="Normal 36 5 3 2" xfId="7659"/>
    <cellStyle name="Normal 36 5 3 2 2" xfId="16700"/>
    <cellStyle name="Normal 36 5 3 3" xfId="12187"/>
    <cellStyle name="Normal 36 5 4" xfId="5210"/>
    <cellStyle name="Normal 36 5 4 2" xfId="14251"/>
    <cellStyle name="Normal 36 5 5" xfId="9738"/>
    <cellStyle name="Normal 36 6" xfId="1251"/>
    <cellStyle name="Normal 36 6 2" xfId="3146"/>
    <cellStyle name="Normal 36 6 2 2" xfId="7661"/>
    <cellStyle name="Normal 36 6 2 2 2" xfId="16702"/>
    <cellStyle name="Normal 36 6 2 3" xfId="12189"/>
    <cellStyle name="Normal 36 6 3" xfId="5774"/>
    <cellStyle name="Normal 36 6 3 2" xfId="14815"/>
    <cellStyle name="Normal 36 6 4" xfId="10302"/>
    <cellStyle name="Normal 36 7" xfId="3123"/>
    <cellStyle name="Normal 36 7 2" xfId="7638"/>
    <cellStyle name="Normal 36 7 2 2" xfId="16679"/>
    <cellStyle name="Normal 36 7 3" xfId="12166"/>
    <cellStyle name="Normal 36 8" xfId="4646"/>
    <cellStyle name="Normal 36 8 2" xfId="13687"/>
    <cellStyle name="Normal 36 9" xfId="9174"/>
    <cellStyle name="Normal 37" xfId="39"/>
    <cellStyle name="Normal 37 2" xfId="135"/>
    <cellStyle name="Normal 37 2 2" xfId="364"/>
    <cellStyle name="Normal 37 2 2 2" xfId="928"/>
    <cellStyle name="Normal 37 2 2 2 2" xfId="2098"/>
    <cellStyle name="Normal 37 2 2 2 2 2" xfId="3151"/>
    <cellStyle name="Normal 37 2 2 2 2 2 2" xfId="7666"/>
    <cellStyle name="Normal 37 2 2 2 2 2 2 2" xfId="16707"/>
    <cellStyle name="Normal 37 2 2 2 2 2 3" xfId="12194"/>
    <cellStyle name="Normal 37 2 2 2 2 3" xfId="6621"/>
    <cellStyle name="Normal 37 2 2 2 2 3 2" xfId="15662"/>
    <cellStyle name="Normal 37 2 2 2 2 4" xfId="11149"/>
    <cellStyle name="Normal 37 2 2 2 3" xfId="3150"/>
    <cellStyle name="Normal 37 2 2 2 3 2" xfId="7665"/>
    <cellStyle name="Normal 37 2 2 2 3 2 2" xfId="16706"/>
    <cellStyle name="Normal 37 2 2 2 3 3" xfId="12193"/>
    <cellStyle name="Normal 37 2 2 2 4" xfId="5493"/>
    <cellStyle name="Normal 37 2 2 2 4 2" xfId="14534"/>
    <cellStyle name="Normal 37 2 2 2 5" xfId="10021"/>
    <cellStyle name="Normal 37 2 2 3" xfId="1534"/>
    <cellStyle name="Normal 37 2 2 3 2" xfId="3152"/>
    <cellStyle name="Normal 37 2 2 3 2 2" xfId="7667"/>
    <cellStyle name="Normal 37 2 2 3 2 2 2" xfId="16708"/>
    <cellStyle name="Normal 37 2 2 3 2 3" xfId="12195"/>
    <cellStyle name="Normal 37 2 2 3 3" xfId="6057"/>
    <cellStyle name="Normal 37 2 2 3 3 2" xfId="15098"/>
    <cellStyle name="Normal 37 2 2 3 4" xfId="10585"/>
    <cellStyle name="Normal 37 2 2 4" xfId="3149"/>
    <cellStyle name="Normal 37 2 2 4 2" xfId="7664"/>
    <cellStyle name="Normal 37 2 2 4 2 2" xfId="16705"/>
    <cellStyle name="Normal 37 2 2 4 3" xfId="12192"/>
    <cellStyle name="Normal 37 2 2 5" xfId="4929"/>
    <cellStyle name="Normal 37 2 2 5 2" xfId="13970"/>
    <cellStyle name="Normal 37 2 2 6" xfId="9457"/>
    <cellStyle name="Normal 37 2 3" xfId="552"/>
    <cellStyle name="Normal 37 2 3 2" xfId="1116"/>
    <cellStyle name="Normal 37 2 3 2 2" xfId="2286"/>
    <cellStyle name="Normal 37 2 3 2 2 2" xfId="3155"/>
    <cellStyle name="Normal 37 2 3 2 2 2 2" xfId="7670"/>
    <cellStyle name="Normal 37 2 3 2 2 2 2 2" xfId="16711"/>
    <cellStyle name="Normal 37 2 3 2 2 2 3" xfId="12198"/>
    <cellStyle name="Normal 37 2 3 2 2 3" xfId="6809"/>
    <cellStyle name="Normal 37 2 3 2 2 3 2" xfId="15850"/>
    <cellStyle name="Normal 37 2 3 2 2 4" xfId="11337"/>
    <cellStyle name="Normal 37 2 3 2 3" xfId="3154"/>
    <cellStyle name="Normal 37 2 3 2 3 2" xfId="7669"/>
    <cellStyle name="Normal 37 2 3 2 3 2 2" xfId="16710"/>
    <cellStyle name="Normal 37 2 3 2 3 3" xfId="12197"/>
    <cellStyle name="Normal 37 2 3 2 4" xfId="5681"/>
    <cellStyle name="Normal 37 2 3 2 4 2" xfId="14722"/>
    <cellStyle name="Normal 37 2 3 2 5" xfId="10209"/>
    <cellStyle name="Normal 37 2 3 3" xfId="1722"/>
    <cellStyle name="Normal 37 2 3 3 2" xfId="3156"/>
    <cellStyle name="Normal 37 2 3 3 2 2" xfId="7671"/>
    <cellStyle name="Normal 37 2 3 3 2 2 2" xfId="16712"/>
    <cellStyle name="Normal 37 2 3 3 2 3" xfId="12199"/>
    <cellStyle name="Normal 37 2 3 3 3" xfId="6245"/>
    <cellStyle name="Normal 37 2 3 3 3 2" xfId="15286"/>
    <cellStyle name="Normal 37 2 3 3 4" xfId="10773"/>
    <cellStyle name="Normal 37 2 3 4" xfId="3153"/>
    <cellStyle name="Normal 37 2 3 4 2" xfId="7668"/>
    <cellStyle name="Normal 37 2 3 4 2 2" xfId="16709"/>
    <cellStyle name="Normal 37 2 3 4 3" xfId="12196"/>
    <cellStyle name="Normal 37 2 3 5" xfId="5117"/>
    <cellStyle name="Normal 37 2 3 5 2" xfId="14158"/>
    <cellStyle name="Normal 37 2 3 6" xfId="9645"/>
    <cellStyle name="Normal 37 2 4" xfId="740"/>
    <cellStyle name="Normal 37 2 4 2" xfId="1910"/>
    <cellStyle name="Normal 37 2 4 2 2" xfId="3158"/>
    <cellStyle name="Normal 37 2 4 2 2 2" xfId="7673"/>
    <cellStyle name="Normal 37 2 4 2 2 2 2" xfId="16714"/>
    <cellStyle name="Normal 37 2 4 2 2 3" xfId="12201"/>
    <cellStyle name="Normal 37 2 4 2 3" xfId="6433"/>
    <cellStyle name="Normal 37 2 4 2 3 2" xfId="15474"/>
    <cellStyle name="Normal 37 2 4 2 4" xfId="10961"/>
    <cellStyle name="Normal 37 2 4 3" xfId="3157"/>
    <cellStyle name="Normal 37 2 4 3 2" xfId="7672"/>
    <cellStyle name="Normal 37 2 4 3 2 2" xfId="16713"/>
    <cellStyle name="Normal 37 2 4 3 3" xfId="12200"/>
    <cellStyle name="Normal 37 2 4 4" xfId="5305"/>
    <cellStyle name="Normal 37 2 4 4 2" xfId="14346"/>
    <cellStyle name="Normal 37 2 4 5" xfId="9833"/>
    <cellStyle name="Normal 37 2 5" xfId="1346"/>
    <cellStyle name="Normal 37 2 5 2" xfId="3159"/>
    <cellStyle name="Normal 37 2 5 2 2" xfId="7674"/>
    <cellStyle name="Normal 37 2 5 2 2 2" xfId="16715"/>
    <cellStyle name="Normal 37 2 5 2 3" xfId="12202"/>
    <cellStyle name="Normal 37 2 5 3" xfId="5869"/>
    <cellStyle name="Normal 37 2 5 3 2" xfId="14910"/>
    <cellStyle name="Normal 37 2 5 4" xfId="10397"/>
    <cellStyle name="Normal 37 2 6" xfId="3148"/>
    <cellStyle name="Normal 37 2 6 2" xfId="7663"/>
    <cellStyle name="Normal 37 2 6 2 2" xfId="16704"/>
    <cellStyle name="Normal 37 2 6 3" xfId="12191"/>
    <cellStyle name="Normal 37 2 7" xfId="4741"/>
    <cellStyle name="Normal 37 2 7 2" xfId="13782"/>
    <cellStyle name="Normal 37 2 8" xfId="9269"/>
    <cellStyle name="Normal 37 3" xfId="270"/>
    <cellStyle name="Normal 37 3 2" xfId="834"/>
    <cellStyle name="Normal 37 3 2 2" xfId="2004"/>
    <cellStyle name="Normal 37 3 2 2 2" xfId="3162"/>
    <cellStyle name="Normal 37 3 2 2 2 2" xfId="7677"/>
    <cellStyle name="Normal 37 3 2 2 2 2 2" xfId="16718"/>
    <cellStyle name="Normal 37 3 2 2 2 3" xfId="12205"/>
    <cellStyle name="Normal 37 3 2 2 3" xfId="6527"/>
    <cellStyle name="Normal 37 3 2 2 3 2" xfId="15568"/>
    <cellStyle name="Normal 37 3 2 2 4" xfId="11055"/>
    <cellStyle name="Normal 37 3 2 3" xfId="3161"/>
    <cellStyle name="Normal 37 3 2 3 2" xfId="7676"/>
    <cellStyle name="Normal 37 3 2 3 2 2" xfId="16717"/>
    <cellStyle name="Normal 37 3 2 3 3" xfId="12204"/>
    <cellStyle name="Normal 37 3 2 4" xfId="5399"/>
    <cellStyle name="Normal 37 3 2 4 2" xfId="14440"/>
    <cellStyle name="Normal 37 3 2 5" xfId="9927"/>
    <cellStyle name="Normal 37 3 3" xfId="1440"/>
    <cellStyle name="Normal 37 3 3 2" xfId="3163"/>
    <cellStyle name="Normal 37 3 3 2 2" xfId="7678"/>
    <cellStyle name="Normal 37 3 3 2 2 2" xfId="16719"/>
    <cellStyle name="Normal 37 3 3 2 3" xfId="12206"/>
    <cellStyle name="Normal 37 3 3 3" xfId="5963"/>
    <cellStyle name="Normal 37 3 3 3 2" xfId="15004"/>
    <cellStyle name="Normal 37 3 3 4" xfId="10491"/>
    <cellStyle name="Normal 37 3 4" xfId="3160"/>
    <cellStyle name="Normal 37 3 4 2" xfId="7675"/>
    <cellStyle name="Normal 37 3 4 2 2" xfId="16716"/>
    <cellStyle name="Normal 37 3 4 3" xfId="12203"/>
    <cellStyle name="Normal 37 3 5" xfId="4835"/>
    <cellStyle name="Normal 37 3 5 2" xfId="13876"/>
    <cellStyle name="Normal 37 3 6" xfId="9363"/>
    <cellStyle name="Normal 37 4" xfId="458"/>
    <cellStyle name="Normal 37 4 2" xfId="1022"/>
    <cellStyle name="Normal 37 4 2 2" xfId="2192"/>
    <cellStyle name="Normal 37 4 2 2 2" xfId="3166"/>
    <cellStyle name="Normal 37 4 2 2 2 2" xfId="7681"/>
    <cellStyle name="Normal 37 4 2 2 2 2 2" xfId="16722"/>
    <cellStyle name="Normal 37 4 2 2 2 3" xfId="12209"/>
    <cellStyle name="Normal 37 4 2 2 3" xfId="6715"/>
    <cellStyle name="Normal 37 4 2 2 3 2" xfId="15756"/>
    <cellStyle name="Normal 37 4 2 2 4" xfId="11243"/>
    <cellStyle name="Normal 37 4 2 3" xfId="3165"/>
    <cellStyle name="Normal 37 4 2 3 2" xfId="7680"/>
    <cellStyle name="Normal 37 4 2 3 2 2" xfId="16721"/>
    <cellStyle name="Normal 37 4 2 3 3" xfId="12208"/>
    <cellStyle name="Normal 37 4 2 4" xfId="5587"/>
    <cellStyle name="Normal 37 4 2 4 2" xfId="14628"/>
    <cellStyle name="Normal 37 4 2 5" xfId="10115"/>
    <cellStyle name="Normal 37 4 3" xfId="1628"/>
    <cellStyle name="Normal 37 4 3 2" xfId="3167"/>
    <cellStyle name="Normal 37 4 3 2 2" xfId="7682"/>
    <cellStyle name="Normal 37 4 3 2 2 2" xfId="16723"/>
    <cellStyle name="Normal 37 4 3 2 3" xfId="12210"/>
    <cellStyle name="Normal 37 4 3 3" xfId="6151"/>
    <cellStyle name="Normal 37 4 3 3 2" xfId="15192"/>
    <cellStyle name="Normal 37 4 3 4" xfId="10679"/>
    <cellStyle name="Normal 37 4 4" xfId="3164"/>
    <cellStyle name="Normal 37 4 4 2" xfId="7679"/>
    <cellStyle name="Normal 37 4 4 2 2" xfId="16720"/>
    <cellStyle name="Normal 37 4 4 3" xfId="12207"/>
    <cellStyle name="Normal 37 4 5" xfId="5023"/>
    <cellStyle name="Normal 37 4 5 2" xfId="14064"/>
    <cellStyle name="Normal 37 4 6" xfId="9551"/>
    <cellStyle name="Normal 37 5" xfId="646"/>
    <cellStyle name="Normal 37 5 2" xfId="1816"/>
    <cellStyle name="Normal 37 5 2 2" xfId="3169"/>
    <cellStyle name="Normal 37 5 2 2 2" xfId="7684"/>
    <cellStyle name="Normal 37 5 2 2 2 2" xfId="16725"/>
    <cellStyle name="Normal 37 5 2 2 3" xfId="12212"/>
    <cellStyle name="Normal 37 5 2 3" xfId="6339"/>
    <cellStyle name="Normal 37 5 2 3 2" xfId="15380"/>
    <cellStyle name="Normal 37 5 2 4" xfId="10867"/>
    <cellStyle name="Normal 37 5 3" xfId="3168"/>
    <cellStyle name="Normal 37 5 3 2" xfId="7683"/>
    <cellStyle name="Normal 37 5 3 2 2" xfId="16724"/>
    <cellStyle name="Normal 37 5 3 3" xfId="12211"/>
    <cellStyle name="Normal 37 5 4" xfId="5211"/>
    <cellStyle name="Normal 37 5 4 2" xfId="14252"/>
    <cellStyle name="Normal 37 5 5" xfId="9739"/>
    <cellStyle name="Normal 37 6" xfId="1252"/>
    <cellStyle name="Normal 37 6 2" xfId="3170"/>
    <cellStyle name="Normal 37 6 2 2" xfId="7685"/>
    <cellStyle name="Normal 37 6 2 2 2" xfId="16726"/>
    <cellStyle name="Normal 37 6 2 3" xfId="12213"/>
    <cellStyle name="Normal 37 6 3" xfId="5775"/>
    <cellStyle name="Normal 37 6 3 2" xfId="14816"/>
    <cellStyle name="Normal 37 6 4" xfId="10303"/>
    <cellStyle name="Normal 37 7" xfId="3147"/>
    <cellStyle name="Normal 37 7 2" xfId="7662"/>
    <cellStyle name="Normal 37 7 2 2" xfId="16703"/>
    <cellStyle name="Normal 37 7 3" xfId="12190"/>
    <cellStyle name="Normal 37 8" xfId="4647"/>
    <cellStyle name="Normal 37 8 2" xfId="13688"/>
    <cellStyle name="Normal 37 9" xfId="9175"/>
    <cellStyle name="Normal 4" xfId="100"/>
    <cellStyle name="Normal 4 2" xfId="196"/>
    <cellStyle name="Normal 40" xfId="40"/>
    <cellStyle name="Normal 40 2" xfId="136"/>
    <cellStyle name="Normal 40 2 2" xfId="365"/>
    <cellStyle name="Normal 40 2 2 2" xfId="929"/>
    <cellStyle name="Normal 40 2 2 2 2" xfId="2099"/>
    <cellStyle name="Normal 40 2 2 2 2 2" xfId="3175"/>
    <cellStyle name="Normal 40 2 2 2 2 2 2" xfId="7690"/>
    <cellStyle name="Normal 40 2 2 2 2 2 2 2" xfId="16731"/>
    <cellStyle name="Normal 40 2 2 2 2 2 3" xfId="12218"/>
    <cellStyle name="Normal 40 2 2 2 2 3" xfId="6622"/>
    <cellStyle name="Normal 40 2 2 2 2 3 2" xfId="15663"/>
    <cellStyle name="Normal 40 2 2 2 2 4" xfId="11150"/>
    <cellStyle name="Normal 40 2 2 2 3" xfId="3174"/>
    <cellStyle name="Normal 40 2 2 2 3 2" xfId="7689"/>
    <cellStyle name="Normal 40 2 2 2 3 2 2" xfId="16730"/>
    <cellStyle name="Normal 40 2 2 2 3 3" xfId="12217"/>
    <cellStyle name="Normal 40 2 2 2 4" xfId="5494"/>
    <cellStyle name="Normal 40 2 2 2 4 2" xfId="14535"/>
    <cellStyle name="Normal 40 2 2 2 5" xfId="10022"/>
    <cellStyle name="Normal 40 2 2 3" xfId="1535"/>
    <cellStyle name="Normal 40 2 2 3 2" xfId="3176"/>
    <cellStyle name="Normal 40 2 2 3 2 2" xfId="7691"/>
    <cellStyle name="Normal 40 2 2 3 2 2 2" xfId="16732"/>
    <cellStyle name="Normal 40 2 2 3 2 3" xfId="12219"/>
    <cellStyle name="Normal 40 2 2 3 3" xfId="6058"/>
    <cellStyle name="Normal 40 2 2 3 3 2" xfId="15099"/>
    <cellStyle name="Normal 40 2 2 3 4" xfId="10586"/>
    <cellStyle name="Normal 40 2 2 4" xfId="3173"/>
    <cellStyle name="Normal 40 2 2 4 2" xfId="7688"/>
    <cellStyle name="Normal 40 2 2 4 2 2" xfId="16729"/>
    <cellStyle name="Normal 40 2 2 4 3" xfId="12216"/>
    <cellStyle name="Normal 40 2 2 5" xfId="4930"/>
    <cellStyle name="Normal 40 2 2 5 2" xfId="13971"/>
    <cellStyle name="Normal 40 2 2 6" xfId="9458"/>
    <cellStyle name="Normal 40 2 3" xfId="553"/>
    <cellStyle name="Normal 40 2 3 2" xfId="1117"/>
    <cellStyle name="Normal 40 2 3 2 2" xfId="2287"/>
    <cellStyle name="Normal 40 2 3 2 2 2" xfId="3179"/>
    <cellStyle name="Normal 40 2 3 2 2 2 2" xfId="7694"/>
    <cellStyle name="Normal 40 2 3 2 2 2 2 2" xfId="16735"/>
    <cellStyle name="Normal 40 2 3 2 2 2 3" xfId="12222"/>
    <cellStyle name="Normal 40 2 3 2 2 3" xfId="6810"/>
    <cellStyle name="Normal 40 2 3 2 2 3 2" xfId="15851"/>
    <cellStyle name="Normal 40 2 3 2 2 4" xfId="11338"/>
    <cellStyle name="Normal 40 2 3 2 3" xfId="3178"/>
    <cellStyle name="Normal 40 2 3 2 3 2" xfId="7693"/>
    <cellStyle name="Normal 40 2 3 2 3 2 2" xfId="16734"/>
    <cellStyle name="Normal 40 2 3 2 3 3" xfId="12221"/>
    <cellStyle name="Normal 40 2 3 2 4" xfId="5682"/>
    <cellStyle name="Normal 40 2 3 2 4 2" xfId="14723"/>
    <cellStyle name="Normal 40 2 3 2 5" xfId="10210"/>
    <cellStyle name="Normal 40 2 3 3" xfId="1723"/>
    <cellStyle name="Normal 40 2 3 3 2" xfId="3180"/>
    <cellStyle name="Normal 40 2 3 3 2 2" xfId="7695"/>
    <cellStyle name="Normal 40 2 3 3 2 2 2" xfId="16736"/>
    <cellStyle name="Normal 40 2 3 3 2 3" xfId="12223"/>
    <cellStyle name="Normal 40 2 3 3 3" xfId="6246"/>
    <cellStyle name="Normal 40 2 3 3 3 2" xfId="15287"/>
    <cellStyle name="Normal 40 2 3 3 4" xfId="10774"/>
    <cellStyle name="Normal 40 2 3 4" xfId="3177"/>
    <cellStyle name="Normal 40 2 3 4 2" xfId="7692"/>
    <cellStyle name="Normal 40 2 3 4 2 2" xfId="16733"/>
    <cellStyle name="Normal 40 2 3 4 3" xfId="12220"/>
    <cellStyle name="Normal 40 2 3 5" xfId="5118"/>
    <cellStyle name="Normal 40 2 3 5 2" xfId="14159"/>
    <cellStyle name="Normal 40 2 3 6" xfId="9646"/>
    <cellStyle name="Normal 40 2 4" xfId="741"/>
    <cellStyle name="Normal 40 2 4 2" xfId="1911"/>
    <cellStyle name="Normal 40 2 4 2 2" xfId="3182"/>
    <cellStyle name="Normal 40 2 4 2 2 2" xfId="7697"/>
    <cellStyle name="Normal 40 2 4 2 2 2 2" xfId="16738"/>
    <cellStyle name="Normal 40 2 4 2 2 3" xfId="12225"/>
    <cellStyle name="Normal 40 2 4 2 3" xfId="6434"/>
    <cellStyle name="Normal 40 2 4 2 3 2" xfId="15475"/>
    <cellStyle name="Normal 40 2 4 2 4" xfId="10962"/>
    <cellStyle name="Normal 40 2 4 3" xfId="3181"/>
    <cellStyle name="Normal 40 2 4 3 2" xfId="7696"/>
    <cellStyle name="Normal 40 2 4 3 2 2" xfId="16737"/>
    <cellStyle name="Normal 40 2 4 3 3" xfId="12224"/>
    <cellStyle name="Normal 40 2 4 4" xfId="5306"/>
    <cellStyle name="Normal 40 2 4 4 2" xfId="14347"/>
    <cellStyle name="Normal 40 2 4 5" xfId="9834"/>
    <cellStyle name="Normal 40 2 5" xfId="1347"/>
    <cellStyle name="Normal 40 2 5 2" xfId="3183"/>
    <cellStyle name="Normal 40 2 5 2 2" xfId="7698"/>
    <cellStyle name="Normal 40 2 5 2 2 2" xfId="16739"/>
    <cellStyle name="Normal 40 2 5 2 3" xfId="12226"/>
    <cellStyle name="Normal 40 2 5 3" xfId="5870"/>
    <cellStyle name="Normal 40 2 5 3 2" xfId="14911"/>
    <cellStyle name="Normal 40 2 5 4" xfId="10398"/>
    <cellStyle name="Normal 40 2 6" xfId="3172"/>
    <cellStyle name="Normal 40 2 6 2" xfId="7687"/>
    <cellStyle name="Normal 40 2 6 2 2" xfId="16728"/>
    <cellStyle name="Normal 40 2 6 3" xfId="12215"/>
    <cellStyle name="Normal 40 2 7" xfId="4742"/>
    <cellStyle name="Normal 40 2 7 2" xfId="13783"/>
    <cellStyle name="Normal 40 2 8" xfId="9270"/>
    <cellStyle name="Normal 40 3" xfId="271"/>
    <cellStyle name="Normal 40 3 2" xfId="835"/>
    <cellStyle name="Normal 40 3 2 2" xfId="2005"/>
    <cellStyle name="Normal 40 3 2 2 2" xfId="3186"/>
    <cellStyle name="Normal 40 3 2 2 2 2" xfId="7701"/>
    <cellStyle name="Normal 40 3 2 2 2 2 2" xfId="16742"/>
    <cellStyle name="Normal 40 3 2 2 2 3" xfId="12229"/>
    <cellStyle name="Normal 40 3 2 2 3" xfId="6528"/>
    <cellStyle name="Normal 40 3 2 2 3 2" xfId="15569"/>
    <cellStyle name="Normal 40 3 2 2 4" xfId="11056"/>
    <cellStyle name="Normal 40 3 2 3" xfId="3185"/>
    <cellStyle name="Normal 40 3 2 3 2" xfId="7700"/>
    <cellStyle name="Normal 40 3 2 3 2 2" xfId="16741"/>
    <cellStyle name="Normal 40 3 2 3 3" xfId="12228"/>
    <cellStyle name="Normal 40 3 2 4" xfId="5400"/>
    <cellStyle name="Normal 40 3 2 4 2" xfId="14441"/>
    <cellStyle name="Normal 40 3 2 5" xfId="9928"/>
    <cellStyle name="Normal 40 3 3" xfId="1441"/>
    <cellStyle name="Normal 40 3 3 2" xfId="3187"/>
    <cellStyle name="Normal 40 3 3 2 2" xfId="7702"/>
    <cellStyle name="Normal 40 3 3 2 2 2" xfId="16743"/>
    <cellStyle name="Normal 40 3 3 2 3" xfId="12230"/>
    <cellStyle name="Normal 40 3 3 3" xfId="5964"/>
    <cellStyle name="Normal 40 3 3 3 2" xfId="15005"/>
    <cellStyle name="Normal 40 3 3 4" xfId="10492"/>
    <cellStyle name="Normal 40 3 4" xfId="3184"/>
    <cellStyle name="Normal 40 3 4 2" xfId="7699"/>
    <cellStyle name="Normal 40 3 4 2 2" xfId="16740"/>
    <cellStyle name="Normal 40 3 4 3" xfId="12227"/>
    <cellStyle name="Normal 40 3 5" xfId="4836"/>
    <cellStyle name="Normal 40 3 5 2" xfId="13877"/>
    <cellStyle name="Normal 40 3 6" xfId="9364"/>
    <cellStyle name="Normal 40 4" xfId="459"/>
    <cellStyle name="Normal 40 4 2" xfId="1023"/>
    <cellStyle name="Normal 40 4 2 2" xfId="2193"/>
    <cellStyle name="Normal 40 4 2 2 2" xfId="3190"/>
    <cellStyle name="Normal 40 4 2 2 2 2" xfId="7705"/>
    <cellStyle name="Normal 40 4 2 2 2 2 2" xfId="16746"/>
    <cellStyle name="Normal 40 4 2 2 2 3" xfId="12233"/>
    <cellStyle name="Normal 40 4 2 2 3" xfId="6716"/>
    <cellStyle name="Normal 40 4 2 2 3 2" xfId="15757"/>
    <cellStyle name="Normal 40 4 2 2 4" xfId="11244"/>
    <cellStyle name="Normal 40 4 2 3" xfId="3189"/>
    <cellStyle name="Normal 40 4 2 3 2" xfId="7704"/>
    <cellStyle name="Normal 40 4 2 3 2 2" xfId="16745"/>
    <cellStyle name="Normal 40 4 2 3 3" xfId="12232"/>
    <cellStyle name="Normal 40 4 2 4" xfId="5588"/>
    <cellStyle name="Normal 40 4 2 4 2" xfId="14629"/>
    <cellStyle name="Normal 40 4 2 5" xfId="10116"/>
    <cellStyle name="Normal 40 4 3" xfId="1629"/>
    <cellStyle name="Normal 40 4 3 2" xfId="3191"/>
    <cellStyle name="Normal 40 4 3 2 2" xfId="7706"/>
    <cellStyle name="Normal 40 4 3 2 2 2" xfId="16747"/>
    <cellStyle name="Normal 40 4 3 2 3" xfId="12234"/>
    <cellStyle name="Normal 40 4 3 3" xfId="6152"/>
    <cellStyle name="Normal 40 4 3 3 2" xfId="15193"/>
    <cellStyle name="Normal 40 4 3 4" xfId="10680"/>
    <cellStyle name="Normal 40 4 4" xfId="3188"/>
    <cellStyle name="Normal 40 4 4 2" xfId="7703"/>
    <cellStyle name="Normal 40 4 4 2 2" xfId="16744"/>
    <cellStyle name="Normal 40 4 4 3" xfId="12231"/>
    <cellStyle name="Normal 40 4 5" xfId="5024"/>
    <cellStyle name="Normal 40 4 5 2" xfId="14065"/>
    <cellStyle name="Normal 40 4 6" xfId="9552"/>
    <cellStyle name="Normal 40 5" xfId="647"/>
    <cellStyle name="Normal 40 5 2" xfId="1817"/>
    <cellStyle name="Normal 40 5 2 2" xfId="3193"/>
    <cellStyle name="Normal 40 5 2 2 2" xfId="7708"/>
    <cellStyle name="Normal 40 5 2 2 2 2" xfId="16749"/>
    <cellStyle name="Normal 40 5 2 2 3" xfId="12236"/>
    <cellStyle name="Normal 40 5 2 3" xfId="6340"/>
    <cellStyle name="Normal 40 5 2 3 2" xfId="15381"/>
    <cellStyle name="Normal 40 5 2 4" xfId="10868"/>
    <cellStyle name="Normal 40 5 3" xfId="3192"/>
    <cellStyle name="Normal 40 5 3 2" xfId="7707"/>
    <cellStyle name="Normal 40 5 3 2 2" xfId="16748"/>
    <cellStyle name="Normal 40 5 3 3" xfId="12235"/>
    <cellStyle name="Normal 40 5 4" xfId="5212"/>
    <cellStyle name="Normal 40 5 4 2" xfId="14253"/>
    <cellStyle name="Normal 40 5 5" xfId="9740"/>
    <cellStyle name="Normal 40 6" xfId="1253"/>
    <cellStyle name="Normal 40 6 2" xfId="3194"/>
    <cellStyle name="Normal 40 6 2 2" xfId="7709"/>
    <cellStyle name="Normal 40 6 2 2 2" xfId="16750"/>
    <cellStyle name="Normal 40 6 2 3" xfId="12237"/>
    <cellStyle name="Normal 40 6 3" xfId="5776"/>
    <cellStyle name="Normal 40 6 3 2" xfId="14817"/>
    <cellStyle name="Normal 40 6 4" xfId="10304"/>
    <cellStyle name="Normal 40 7" xfId="3171"/>
    <cellStyle name="Normal 40 7 2" xfId="7686"/>
    <cellStyle name="Normal 40 7 2 2" xfId="16727"/>
    <cellStyle name="Normal 40 7 3" xfId="12214"/>
    <cellStyle name="Normal 40 8" xfId="4648"/>
    <cellStyle name="Normal 40 8 2" xfId="13689"/>
    <cellStyle name="Normal 40 9" xfId="9176"/>
    <cellStyle name="Normal 41" xfId="41"/>
    <cellStyle name="Normal 41 2" xfId="137"/>
    <cellStyle name="Normal 41 2 2" xfId="366"/>
    <cellStyle name="Normal 41 2 2 2" xfId="930"/>
    <cellStyle name="Normal 41 2 2 2 2" xfId="2100"/>
    <cellStyle name="Normal 41 2 2 2 2 2" xfId="3199"/>
    <cellStyle name="Normal 41 2 2 2 2 2 2" xfId="7714"/>
    <cellStyle name="Normal 41 2 2 2 2 2 2 2" xfId="16755"/>
    <cellStyle name="Normal 41 2 2 2 2 2 3" xfId="12242"/>
    <cellStyle name="Normal 41 2 2 2 2 3" xfId="6623"/>
    <cellStyle name="Normal 41 2 2 2 2 3 2" xfId="15664"/>
    <cellStyle name="Normal 41 2 2 2 2 4" xfId="11151"/>
    <cellStyle name="Normal 41 2 2 2 3" xfId="3198"/>
    <cellStyle name="Normal 41 2 2 2 3 2" xfId="7713"/>
    <cellStyle name="Normal 41 2 2 2 3 2 2" xfId="16754"/>
    <cellStyle name="Normal 41 2 2 2 3 3" xfId="12241"/>
    <cellStyle name="Normal 41 2 2 2 4" xfId="5495"/>
    <cellStyle name="Normal 41 2 2 2 4 2" xfId="14536"/>
    <cellStyle name="Normal 41 2 2 2 5" xfId="10023"/>
    <cellStyle name="Normal 41 2 2 3" xfId="1536"/>
    <cellStyle name="Normal 41 2 2 3 2" xfId="3200"/>
    <cellStyle name="Normal 41 2 2 3 2 2" xfId="7715"/>
    <cellStyle name="Normal 41 2 2 3 2 2 2" xfId="16756"/>
    <cellStyle name="Normal 41 2 2 3 2 3" xfId="12243"/>
    <cellStyle name="Normal 41 2 2 3 3" xfId="6059"/>
    <cellStyle name="Normal 41 2 2 3 3 2" xfId="15100"/>
    <cellStyle name="Normal 41 2 2 3 4" xfId="10587"/>
    <cellStyle name="Normal 41 2 2 4" xfId="3197"/>
    <cellStyle name="Normal 41 2 2 4 2" xfId="7712"/>
    <cellStyle name="Normal 41 2 2 4 2 2" xfId="16753"/>
    <cellStyle name="Normal 41 2 2 4 3" xfId="12240"/>
    <cellStyle name="Normal 41 2 2 5" xfId="4931"/>
    <cellStyle name="Normal 41 2 2 5 2" xfId="13972"/>
    <cellStyle name="Normal 41 2 2 6" xfId="9459"/>
    <cellStyle name="Normal 41 2 3" xfId="554"/>
    <cellStyle name="Normal 41 2 3 2" xfId="1118"/>
    <cellStyle name="Normal 41 2 3 2 2" xfId="2288"/>
    <cellStyle name="Normal 41 2 3 2 2 2" xfId="3203"/>
    <cellStyle name="Normal 41 2 3 2 2 2 2" xfId="7718"/>
    <cellStyle name="Normal 41 2 3 2 2 2 2 2" xfId="16759"/>
    <cellStyle name="Normal 41 2 3 2 2 2 3" xfId="12246"/>
    <cellStyle name="Normal 41 2 3 2 2 3" xfId="6811"/>
    <cellStyle name="Normal 41 2 3 2 2 3 2" xfId="15852"/>
    <cellStyle name="Normal 41 2 3 2 2 4" xfId="11339"/>
    <cellStyle name="Normal 41 2 3 2 3" xfId="3202"/>
    <cellStyle name="Normal 41 2 3 2 3 2" xfId="7717"/>
    <cellStyle name="Normal 41 2 3 2 3 2 2" xfId="16758"/>
    <cellStyle name="Normal 41 2 3 2 3 3" xfId="12245"/>
    <cellStyle name="Normal 41 2 3 2 4" xfId="5683"/>
    <cellStyle name="Normal 41 2 3 2 4 2" xfId="14724"/>
    <cellStyle name="Normal 41 2 3 2 5" xfId="10211"/>
    <cellStyle name="Normal 41 2 3 3" xfId="1724"/>
    <cellStyle name="Normal 41 2 3 3 2" xfId="3204"/>
    <cellStyle name="Normal 41 2 3 3 2 2" xfId="7719"/>
    <cellStyle name="Normal 41 2 3 3 2 2 2" xfId="16760"/>
    <cellStyle name="Normal 41 2 3 3 2 3" xfId="12247"/>
    <cellStyle name="Normal 41 2 3 3 3" xfId="6247"/>
    <cellStyle name="Normal 41 2 3 3 3 2" xfId="15288"/>
    <cellStyle name="Normal 41 2 3 3 4" xfId="10775"/>
    <cellStyle name="Normal 41 2 3 4" xfId="3201"/>
    <cellStyle name="Normal 41 2 3 4 2" xfId="7716"/>
    <cellStyle name="Normal 41 2 3 4 2 2" xfId="16757"/>
    <cellStyle name="Normal 41 2 3 4 3" xfId="12244"/>
    <cellStyle name="Normal 41 2 3 5" xfId="5119"/>
    <cellStyle name="Normal 41 2 3 5 2" xfId="14160"/>
    <cellStyle name="Normal 41 2 3 6" xfId="9647"/>
    <cellStyle name="Normal 41 2 4" xfId="742"/>
    <cellStyle name="Normal 41 2 4 2" xfId="1912"/>
    <cellStyle name="Normal 41 2 4 2 2" xfId="3206"/>
    <cellStyle name="Normal 41 2 4 2 2 2" xfId="7721"/>
    <cellStyle name="Normal 41 2 4 2 2 2 2" xfId="16762"/>
    <cellStyle name="Normal 41 2 4 2 2 3" xfId="12249"/>
    <cellStyle name="Normal 41 2 4 2 3" xfId="6435"/>
    <cellStyle name="Normal 41 2 4 2 3 2" xfId="15476"/>
    <cellStyle name="Normal 41 2 4 2 4" xfId="10963"/>
    <cellStyle name="Normal 41 2 4 3" xfId="3205"/>
    <cellStyle name="Normal 41 2 4 3 2" xfId="7720"/>
    <cellStyle name="Normal 41 2 4 3 2 2" xfId="16761"/>
    <cellStyle name="Normal 41 2 4 3 3" xfId="12248"/>
    <cellStyle name="Normal 41 2 4 4" xfId="5307"/>
    <cellStyle name="Normal 41 2 4 4 2" xfId="14348"/>
    <cellStyle name="Normal 41 2 4 5" xfId="9835"/>
    <cellStyle name="Normal 41 2 5" xfId="1348"/>
    <cellStyle name="Normal 41 2 5 2" xfId="3207"/>
    <cellStyle name="Normal 41 2 5 2 2" xfId="7722"/>
    <cellStyle name="Normal 41 2 5 2 2 2" xfId="16763"/>
    <cellStyle name="Normal 41 2 5 2 3" xfId="12250"/>
    <cellStyle name="Normal 41 2 5 3" xfId="5871"/>
    <cellStyle name="Normal 41 2 5 3 2" xfId="14912"/>
    <cellStyle name="Normal 41 2 5 4" xfId="10399"/>
    <cellStyle name="Normal 41 2 6" xfId="3196"/>
    <cellStyle name="Normal 41 2 6 2" xfId="7711"/>
    <cellStyle name="Normal 41 2 6 2 2" xfId="16752"/>
    <cellStyle name="Normal 41 2 6 3" xfId="12239"/>
    <cellStyle name="Normal 41 2 7" xfId="4743"/>
    <cellStyle name="Normal 41 2 7 2" xfId="13784"/>
    <cellStyle name="Normal 41 2 8" xfId="9271"/>
    <cellStyle name="Normal 41 3" xfId="272"/>
    <cellStyle name="Normal 41 3 2" xfId="836"/>
    <cellStyle name="Normal 41 3 2 2" xfId="2006"/>
    <cellStyle name="Normal 41 3 2 2 2" xfId="3210"/>
    <cellStyle name="Normal 41 3 2 2 2 2" xfId="7725"/>
    <cellStyle name="Normal 41 3 2 2 2 2 2" xfId="16766"/>
    <cellStyle name="Normal 41 3 2 2 2 3" xfId="12253"/>
    <cellStyle name="Normal 41 3 2 2 3" xfId="6529"/>
    <cellStyle name="Normal 41 3 2 2 3 2" xfId="15570"/>
    <cellStyle name="Normal 41 3 2 2 4" xfId="11057"/>
    <cellStyle name="Normal 41 3 2 3" xfId="3209"/>
    <cellStyle name="Normal 41 3 2 3 2" xfId="7724"/>
    <cellStyle name="Normal 41 3 2 3 2 2" xfId="16765"/>
    <cellStyle name="Normal 41 3 2 3 3" xfId="12252"/>
    <cellStyle name="Normal 41 3 2 4" xfId="5401"/>
    <cellStyle name="Normal 41 3 2 4 2" xfId="14442"/>
    <cellStyle name="Normal 41 3 2 5" xfId="9929"/>
    <cellStyle name="Normal 41 3 3" xfId="1442"/>
    <cellStyle name="Normal 41 3 3 2" xfId="3211"/>
    <cellStyle name="Normal 41 3 3 2 2" xfId="7726"/>
    <cellStyle name="Normal 41 3 3 2 2 2" xfId="16767"/>
    <cellStyle name="Normal 41 3 3 2 3" xfId="12254"/>
    <cellStyle name="Normal 41 3 3 3" xfId="5965"/>
    <cellStyle name="Normal 41 3 3 3 2" xfId="15006"/>
    <cellStyle name="Normal 41 3 3 4" xfId="10493"/>
    <cellStyle name="Normal 41 3 4" xfId="3208"/>
    <cellStyle name="Normal 41 3 4 2" xfId="7723"/>
    <cellStyle name="Normal 41 3 4 2 2" xfId="16764"/>
    <cellStyle name="Normal 41 3 4 3" xfId="12251"/>
    <cellStyle name="Normal 41 3 5" xfId="4837"/>
    <cellStyle name="Normal 41 3 5 2" xfId="13878"/>
    <cellStyle name="Normal 41 3 6" xfId="9365"/>
    <cellStyle name="Normal 41 4" xfId="460"/>
    <cellStyle name="Normal 41 4 2" xfId="1024"/>
    <cellStyle name="Normal 41 4 2 2" xfId="2194"/>
    <cellStyle name="Normal 41 4 2 2 2" xfId="3214"/>
    <cellStyle name="Normal 41 4 2 2 2 2" xfId="7729"/>
    <cellStyle name="Normal 41 4 2 2 2 2 2" xfId="16770"/>
    <cellStyle name="Normal 41 4 2 2 2 3" xfId="12257"/>
    <cellStyle name="Normal 41 4 2 2 3" xfId="6717"/>
    <cellStyle name="Normal 41 4 2 2 3 2" xfId="15758"/>
    <cellStyle name="Normal 41 4 2 2 4" xfId="11245"/>
    <cellStyle name="Normal 41 4 2 3" xfId="3213"/>
    <cellStyle name="Normal 41 4 2 3 2" xfId="7728"/>
    <cellStyle name="Normal 41 4 2 3 2 2" xfId="16769"/>
    <cellStyle name="Normal 41 4 2 3 3" xfId="12256"/>
    <cellStyle name="Normal 41 4 2 4" xfId="5589"/>
    <cellStyle name="Normal 41 4 2 4 2" xfId="14630"/>
    <cellStyle name="Normal 41 4 2 5" xfId="10117"/>
    <cellStyle name="Normal 41 4 3" xfId="1630"/>
    <cellStyle name="Normal 41 4 3 2" xfId="3215"/>
    <cellStyle name="Normal 41 4 3 2 2" xfId="7730"/>
    <cellStyle name="Normal 41 4 3 2 2 2" xfId="16771"/>
    <cellStyle name="Normal 41 4 3 2 3" xfId="12258"/>
    <cellStyle name="Normal 41 4 3 3" xfId="6153"/>
    <cellStyle name="Normal 41 4 3 3 2" xfId="15194"/>
    <cellStyle name="Normal 41 4 3 4" xfId="10681"/>
    <cellStyle name="Normal 41 4 4" xfId="3212"/>
    <cellStyle name="Normal 41 4 4 2" xfId="7727"/>
    <cellStyle name="Normal 41 4 4 2 2" xfId="16768"/>
    <cellStyle name="Normal 41 4 4 3" xfId="12255"/>
    <cellStyle name="Normal 41 4 5" xfId="5025"/>
    <cellStyle name="Normal 41 4 5 2" xfId="14066"/>
    <cellStyle name="Normal 41 4 6" xfId="9553"/>
    <cellStyle name="Normal 41 5" xfId="648"/>
    <cellStyle name="Normal 41 5 2" xfId="1818"/>
    <cellStyle name="Normal 41 5 2 2" xfId="3217"/>
    <cellStyle name="Normal 41 5 2 2 2" xfId="7732"/>
    <cellStyle name="Normal 41 5 2 2 2 2" xfId="16773"/>
    <cellStyle name="Normal 41 5 2 2 3" xfId="12260"/>
    <cellStyle name="Normal 41 5 2 3" xfId="6341"/>
    <cellStyle name="Normal 41 5 2 3 2" xfId="15382"/>
    <cellStyle name="Normal 41 5 2 4" xfId="10869"/>
    <cellStyle name="Normal 41 5 3" xfId="3216"/>
    <cellStyle name="Normal 41 5 3 2" xfId="7731"/>
    <cellStyle name="Normal 41 5 3 2 2" xfId="16772"/>
    <cellStyle name="Normal 41 5 3 3" xfId="12259"/>
    <cellStyle name="Normal 41 5 4" xfId="5213"/>
    <cellStyle name="Normal 41 5 4 2" xfId="14254"/>
    <cellStyle name="Normal 41 5 5" xfId="9741"/>
    <cellStyle name="Normal 41 6" xfId="1254"/>
    <cellStyle name="Normal 41 6 2" xfId="3218"/>
    <cellStyle name="Normal 41 6 2 2" xfId="7733"/>
    <cellStyle name="Normal 41 6 2 2 2" xfId="16774"/>
    <cellStyle name="Normal 41 6 2 3" xfId="12261"/>
    <cellStyle name="Normal 41 6 3" xfId="5777"/>
    <cellStyle name="Normal 41 6 3 2" xfId="14818"/>
    <cellStyle name="Normal 41 6 4" xfId="10305"/>
    <cellStyle name="Normal 41 7" xfId="3195"/>
    <cellStyle name="Normal 41 7 2" xfId="7710"/>
    <cellStyle name="Normal 41 7 2 2" xfId="16751"/>
    <cellStyle name="Normal 41 7 3" xfId="12238"/>
    <cellStyle name="Normal 41 8" xfId="4649"/>
    <cellStyle name="Normal 41 8 2" xfId="13690"/>
    <cellStyle name="Normal 41 9" xfId="9177"/>
    <cellStyle name="Normal 42" xfId="42"/>
    <cellStyle name="Normal 42 2" xfId="138"/>
    <cellStyle name="Normal 42 2 2" xfId="367"/>
    <cellStyle name="Normal 42 2 2 2" xfId="931"/>
    <cellStyle name="Normal 42 2 2 2 2" xfId="2101"/>
    <cellStyle name="Normal 42 2 2 2 2 2" xfId="3223"/>
    <cellStyle name="Normal 42 2 2 2 2 2 2" xfId="7738"/>
    <cellStyle name="Normal 42 2 2 2 2 2 2 2" xfId="16779"/>
    <cellStyle name="Normal 42 2 2 2 2 2 3" xfId="12266"/>
    <cellStyle name="Normal 42 2 2 2 2 3" xfId="6624"/>
    <cellStyle name="Normal 42 2 2 2 2 3 2" xfId="15665"/>
    <cellStyle name="Normal 42 2 2 2 2 4" xfId="11152"/>
    <cellStyle name="Normal 42 2 2 2 3" xfId="3222"/>
    <cellStyle name="Normal 42 2 2 2 3 2" xfId="7737"/>
    <cellStyle name="Normal 42 2 2 2 3 2 2" xfId="16778"/>
    <cellStyle name="Normal 42 2 2 2 3 3" xfId="12265"/>
    <cellStyle name="Normal 42 2 2 2 4" xfId="5496"/>
    <cellStyle name="Normal 42 2 2 2 4 2" xfId="14537"/>
    <cellStyle name="Normal 42 2 2 2 5" xfId="10024"/>
    <cellStyle name="Normal 42 2 2 3" xfId="1537"/>
    <cellStyle name="Normal 42 2 2 3 2" xfId="3224"/>
    <cellStyle name="Normal 42 2 2 3 2 2" xfId="7739"/>
    <cellStyle name="Normal 42 2 2 3 2 2 2" xfId="16780"/>
    <cellStyle name="Normal 42 2 2 3 2 3" xfId="12267"/>
    <cellStyle name="Normal 42 2 2 3 3" xfId="6060"/>
    <cellStyle name="Normal 42 2 2 3 3 2" xfId="15101"/>
    <cellStyle name="Normal 42 2 2 3 4" xfId="10588"/>
    <cellStyle name="Normal 42 2 2 4" xfId="3221"/>
    <cellStyle name="Normal 42 2 2 4 2" xfId="7736"/>
    <cellStyle name="Normal 42 2 2 4 2 2" xfId="16777"/>
    <cellStyle name="Normal 42 2 2 4 3" xfId="12264"/>
    <cellStyle name="Normal 42 2 2 5" xfId="4932"/>
    <cellStyle name="Normal 42 2 2 5 2" xfId="13973"/>
    <cellStyle name="Normal 42 2 2 6" xfId="9460"/>
    <cellStyle name="Normal 42 2 3" xfId="555"/>
    <cellStyle name="Normal 42 2 3 2" xfId="1119"/>
    <cellStyle name="Normal 42 2 3 2 2" xfId="2289"/>
    <cellStyle name="Normal 42 2 3 2 2 2" xfId="3227"/>
    <cellStyle name="Normal 42 2 3 2 2 2 2" xfId="7742"/>
    <cellStyle name="Normal 42 2 3 2 2 2 2 2" xfId="16783"/>
    <cellStyle name="Normal 42 2 3 2 2 2 3" xfId="12270"/>
    <cellStyle name="Normal 42 2 3 2 2 3" xfId="6812"/>
    <cellStyle name="Normal 42 2 3 2 2 3 2" xfId="15853"/>
    <cellStyle name="Normal 42 2 3 2 2 4" xfId="11340"/>
    <cellStyle name="Normal 42 2 3 2 3" xfId="3226"/>
    <cellStyle name="Normal 42 2 3 2 3 2" xfId="7741"/>
    <cellStyle name="Normal 42 2 3 2 3 2 2" xfId="16782"/>
    <cellStyle name="Normal 42 2 3 2 3 3" xfId="12269"/>
    <cellStyle name="Normal 42 2 3 2 4" xfId="5684"/>
    <cellStyle name="Normal 42 2 3 2 4 2" xfId="14725"/>
    <cellStyle name="Normal 42 2 3 2 5" xfId="10212"/>
    <cellStyle name="Normal 42 2 3 3" xfId="1725"/>
    <cellStyle name="Normal 42 2 3 3 2" xfId="3228"/>
    <cellStyle name="Normal 42 2 3 3 2 2" xfId="7743"/>
    <cellStyle name="Normal 42 2 3 3 2 2 2" xfId="16784"/>
    <cellStyle name="Normal 42 2 3 3 2 3" xfId="12271"/>
    <cellStyle name="Normal 42 2 3 3 3" xfId="6248"/>
    <cellStyle name="Normal 42 2 3 3 3 2" xfId="15289"/>
    <cellStyle name="Normal 42 2 3 3 4" xfId="10776"/>
    <cellStyle name="Normal 42 2 3 4" xfId="3225"/>
    <cellStyle name="Normal 42 2 3 4 2" xfId="7740"/>
    <cellStyle name="Normal 42 2 3 4 2 2" xfId="16781"/>
    <cellStyle name="Normal 42 2 3 4 3" xfId="12268"/>
    <cellStyle name="Normal 42 2 3 5" xfId="5120"/>
    <cellStyle name="Normal 42 2 3 5 2" xfId="14161"/>
    <cellStyle name="Normal 42 2 3 6" xfId="9648"/>
    <cellStyle name="Normal 42 2 4" xfId="743"/>
    <cellStyle name="Normal 42 2 4 2" xfId="1913"/>
    <cellStyle name="Normal 42 2 4 2 2" xfId="3230"/>
    <cellStyle name="Normal 42 2 4 2 2 2" xfId="7745"/>
    <cellStyle name="Normal 42 2 4 2 2 2 2" xfId="16786"/>
    <cellStyle name="Normal 42 2 4 2 2 3" xfId="12273"/>
    <cellStyle name="Normal 42 2 4 2 3" xfId="6436"/>
    <cellStyle name="Normal 42 2 4 2 3 2" xfId="15477"/>
    <cellStyle name="Normal 42 2 4 2 4" xfId="10964"/>
    <cellStyle name="Normal 42 2 4 3" xfId="3229"/>
    <cellStyle name="Normal 42 2 4 3 2" xfId="7744"/>
    <cellStyle name="Normal 42 2 4 3 2 2" xfId="16785"/>
    <cellStyle name="Normal 42 2 4 3 3" xfId="12272"/>
    <cellStyle name="Normal 42 2 4 4" xfId="5308"/>
    <cellStyle name="Normal 42 2 4 4 2" xfId="14349"/>
    <cellStyle name="Normal 42 2 4 5" xfId="9836"/>
    <cellStyle name="Normal 42 2 5" xfId="1349"/>
    <cellStyle name="Normal 42 2 5 2" xfId="3231"/>
    <cellStyle name="Normal 42 2 5 2 2" xfId="7746"/>
    <cellStyle name="Normal 42 2 5 2 2 2" xfId="16787"/>
    <cellStyle name="Normal 42 2 5 2 3" xfId="12274"/>
    <cellStyle name="Normal 42 2 5 3" xfId="5872"/>
    <cellStyle name="Normal 42 2 5 3 2" xfId="14913"/>
    <cellStyle name="Normal 42 2 5 4" xfId="10400"/>
    <cellStyle name="Normal 42 2 6" xfId="3220"/>
    <cellStyle name="Normal 42 2 6 2" xfId="7735"/>
    <cellStyle name="Normal 42 2 6 2 2" xfId="16776"/>
    <cellStyle name="Normal 42 2 6 3" xfId="12263"/>
    <cellStyle name="Normal 42 2 7" xfId="4744"/>
    <cellStyle name="Normal 42 2 7 2" xfId="13785"/>
    <cellStyle name="Normal 42 2 8" xfId="9272"/>
    <cellStyle name="Normal 42 3" xfId="273"/>
    <cellStyle name="Normal 42 3 2" xfId="837"/>
    <cellStyle name="Normal 42 3 2 2" xfId="2007"/>
    <cellStyle name="Normal 42 3 2 2 2" xfId="3234"/>
    <cellStyle name="Normal 42 3 2 2 2 2" xfId="7749"/>
    <cellStyle name="Normal 42 3 2 2 2 2 2" xfId="16790"/>
    <cellStyle name="Normal 42 3 2 2 2 3" xfId="12277"/>
    <cellStyle name="Normal 42 3 2 2 3" xfId="6530"/>
    <cellStyle name="Normal 42 3 2 2 3 2" xfId="15571"/>
    <cellStyle name="Normal 42 3 2 2 4" xfId="11058"/>
    <cellStyle name="Normal 42 3 2 3" xfId="3233"/>
    <cellStyle name="Normal 42 3 2 3 2" xfId="7748"/>
    <cellStyle name="Normal 42 3 2 3 2 2" xfId="16789"/>
    <cellStyle name="Normal 42 3 2 3 3" xfId="12276"/>
    <cellStyle name="Normal 42 3 2 4" xfId="5402"/>
    <cellStyle name="Normal 42 3 2 4 2" xfId="14443"/>
    <cellStyle name="Normal 42 3 2 5" xfId="9930"/>
    <cellStyle name="Normal 42 3 3" xfId="1443"/>
    <cellStyle name="Normal 42 3 3 2" xfId="3235"/>
    <cellStyle name="Normal 42 3 3 2 2" xfId="7750"/>
    <cellStyle name="Normal 42 3 3 2 2 2" xfId="16791"/>
    <cellStyle name="Normal 42 3 3 2 3" xfId="12278"/>
    <cellStyle name="Normal 42 3 3 3" xfId="5966"/>
    <cellStyle name="Normal 42 3 3 3 2" xfId="15007"/>
    <cellStyle name="Normal 42 3 3 4" xfId="10494"/>
    <cellStyle name="Normal 42 3 4" xfId="3232"/>
    <cellStyle name="Normal 42 3 4 2" xfId="7747"/>
    <cellStyle name="Normal 42 3 4 2 2" xfId="16788"/>
    <cellStyle name="Normal 42 3 4 3" xfId="12275"/>
    <cellStyle name="Normal 42 3 5" xfId="4838"/>
    <cellStyle name="Normal 42 3 5 2" xfId="13879"/>
    <cellStyle name="Normal 42 3 6" xfId="9366"/>
    <cellStyle name="Normal 42 4" xfId="461"/>
    <cellStyle name="Normal 42 4 2" xfId="1025"/>
    <cellStyle name="Normal 42 4 2 2" xfId="2195"/>
    <cellStyle name="Normal 42 4 2 2 2" xfId="3238"/>
    <cellStyle name="Normal 42 4 2 2 2 2" xfId="7753"/>
    <cellStyle name="Normal 42 4 2 2 2 2 2" xfId="16794"/>
    <cellStyle name="Normal 42 4 2 2 2 3" xfId="12281"/>
    <cellStyle name="Normal 42 4 2 2 3" xfId="6718"/>
    <cellStyle name="Normal 42 4 2 2 3 2" xfId="15759"/>
    <cellStyle name="Normal 42 4 2 2 4" xfId="11246"/>
    <cellStyle name="Normal 42 4 2 3" xfId="3237"/>
    <cellStyle name="Normal 42 4 2 3 2" xfId="7752"/>
    <cellStyle name="Normal 42 4 2 3 2 2" xfId="16793"/>
    <cellStyle name="Normal 42 4 2 3 3" xfId="12280"/>
    <cellStyle name="Normal 42 4 2 4" xfId="5590"/>
    <cellStyle name="Normal 42 4 2 4 2" xfId="14631"/>
    <cellStyle name="Normal 42 4 2 5" xfId="10118"/>
    <cellStyle name="Normal 42 4 3" xfId="1631"/>
    <cellStyle name="Normal 42 4 3 2" xfId="3239"/>
    <cellStyle name="Normal 42 4 3 2 2" xfId="7754"/>
    <cellStyle name="Normal 42 4 3 2 2 2" xfId="16795"/>
    <cellStyle name="Normal 42 4 3 2 3" xfId="12282"/>
    <cellStyle name="Normal 42 4 3 3" xfId="6154"/>
    <cellStyle name="Normal 42 4 3 3 2" xfId="15195"/>
    <cellStyle name="Normal 42 4 3 4" xfId="10682"/>
    <cellStyle name="Normal 42 4 4" xfId="3236"/>
    <cellStyle name="Normal 42 4 4 2" xfId="7751"/>
    <cellStyle name="Normal 42 4 4 2 2" xfId="16792"/>
    <cellStyle name="Normal 42 4 4 3" xfId="12279"/>
    <cellStyle name="Normal 42 4 5" xfId="5026"/>
    <cellStyle name="Normal 42 4 5 2" xfId="14067"/>
    <cellStyle name="Normal 42 4 6" xfId="9554"/>
    <cellStyle name="Normal 42 5" xfId="649"/>
    <cellStyle name="Normal 42 5 2" xfId="1819"/>
    <cellStyle name="Normal 42 5 2 2" xfId="3241"/>
    <cellStyle name="Normal 42 5 2 2 2" xfId="7756"/>
    <cellStyle name="Normal 42 5 2 2 2 2" xfId="16797"/>
    <cellStyle name="Normal 42 5 2 2 3" xfId="12284"/>
    <cellStyle name="Normal 42 5 2 3" xfId="6342"/>
    <cellStyle name="Normal 42 5 2 3 2" xfId="15383"/>
    <cellStyle name="Normal 42 5 2 4" xfId="10870"/>
    <cellStyle name="Normal 42 5 3" xfId="3240"/>
    <cellStyle name="Normal 42 5 3 2" xfId="7755"/>
    <cellStyle name="Normal 42 5 3 2 2" xfId="16796"/>
    <cellStyle name="Normal 42 5 3 3" xfId="12283"/>
    <cellStyle name="Normal 42 5 4" xfId="5214"/>
    <cellStyle name="Normal 42 5 4 2" xfId="14255"/>
    <cellStyle name="Normal 42 5 5" xfId="9742"/>
    <cellStyle name="Normal 42 6" xfId="1255"/>
    <cellStyle name="Normal 42 6 2" xfId="3242"/>
    <cellStyle name="Normal 42 6 2 2" xfId="7757"/>
    <cellStyle name="Normal 42 6 2 2 2" xfId="16798"/>
    <cellStyle name="Normal 42 6 2 3" xfId="12285"/>
    <cellStyle name="Normal 42 6 3" xfId="5778"/>
    <cellStyle name="Normal 42 6 3 2" xfId="14819"/>
    <cellStyle name="Normal 42 6 4" xfId="10306"/>
    <cellStyle name="Normal 42 7" xfId="3219"/>
    <cellStyle name="Normal 42 7 2" xfId="7734"/>
    <cellStyle name="Normal 42 7 2 2" xfId="16775"/>
    <cellStyle name="Normal 42 7 3" xfId="12262"/>
    <cellStyle name="Normal 42 8" xfId="4650"/>
    <cellStyle name="Normal 42 8 2" xfId="13691"/>
    <cellStyle name="Normal 42 9" xfId="9178"/>
    <cellStyle name="Normal 43" xfId="43"/>
    <cellStyle name="Normal 43 2" xfId="139"/>
    <cellStyle name="Normal 43 2 2" xfId="368"/>
    <cellStyle name="Normal 43 2 2 2" xfId="932"/>
    <cellStyle name="Normal 43 2 2 2 2" xfId="2102"/>
    <cellStyle name="Normal 43 2 2 2 2 2" xfId="3247"/>
    <cellStyle name="Normal 43 2 2 2 2 2 2" xfId="7762"/>
    <cellStyle name="Normal 43 2 2 2 2 2 2 2" xfId="16803"/>
    <cellStyle name="Normal 43 2 2 2 2 2 3" xfId="12290"/>
    <cellStyle name="Normal 43 2 2 2 2 3" xfId="6625"/>
    <cellStyle name="Normal 43 2 2 2 2 3 2" xfId="15666"/>
    <cellStyle name="Normal 43 2 2 2 2 4" xfId="11153"/>
    <cellStyle name="Normal 43 2 2 2 3" xfId="3246"/>
    <cellStyle name="Normal 43 2 2 2 3 2" xfId="7761"/>
    <cellStyle name="Normal 43 2 2 2 3 2 2" xfId="16802"/>
    <cellStyle name="Normal 43 2 2 2 3 3" xfId="12289"/>
    <cellStyle name="Normal 43 2 2 2 4" xfId="5497"/>
    <cellStyle name="Normal 43 2 2 2 4 2" xfId="14538"/>
    <cellStyle name="Normal 43 2 2 2 5" xfId="10025"/>
    <cellStyle name="Normal 43 2 2 3" xfId="1538"/>
    <cellStyle name="Normal 43 2 2 3 2" xfId="3248"/>
    <cellStyle name="Normal 43 2 2 3 2 2" xfId="7763"/>
    <cellStyle name="Normal 43 2 2 3 2 2 2" xfId="16804"/>
    <cellStyle name="Normal 43 2 2 3 2 3" xfId="12291"/>
    <cellStyle name="Normal 43 2 2 3 3" xfId="6061"/>
    <cellStyle name="Normal 43 2 2 3 3 2" xfId="15102"/>
    <cellStyle name="Normal 43 2 2 3 4" xfId="10589"/>
    <cellStyle name="Normal 43 2 2 4" xfId="3245"/>
    <cellStyle name="Normal 43 2 2 4 2" xfId="7760"/>
    <cellStyle name="Normal 43 2 2 4 2 2" xfId="16801"/>
    <cellStyle name="Normal 43 2 2 4 3" xfId="12288"/>
    <cellStyle name="Normal 43 2 2 5" xfId="4933"/>
    <cellStyle name="Normal 43 2 2 5 2" xfId="13974"/>
    <cellStyle name="Normal 43 2 2 6" xfId="9461"/>
    <cellStyle name="Normal 43 2 3" xfId="556"/>
    <cellStyle name="Normal 43 2 3 2" xfId="1120"/>
    <cellStyle name="Normal 43 2 3 2 2" xfId="2290"/>
    <cellStyle name="Normal 43 2 3 2 2 2" xfId="3251"/>
    <cellStyle name="Normal 43 2 3 2 2 2 2" xfId="7766"/>
    <cellStyle name="Normal 43 2 3 2 2 2 2 2" xfId="16807"/>
    <cellStyle name="Normal 43 2 3 2 2 2 3" xfId="12294"/>
    <cellStyle name="Normal 43 2 3 2 2 3" xfId="6813"/>
    <cellStyle name="Normal 43 2 3 2 2 3 2" xfId="15854"/>
    <cellStyle name="Normal 43 2 3 2 2 4" xfId="11341"/>
    <cellStyle name="Normal 43 2 3 2 3" xfId="3250"/>
    <cellStyle name="Normal 43 2 3 2 3 2" xfId="7765"/>
    <cellStyle name="Normal 43 2 3 2 3 2 2" xfId="16806"/>
    <cellStyle name="Normal 43 2 3 2 3 3" xfId="12293"/>
    <cellStyle name="Normal 43 2 3 2 4" xfId="5685"/>
    <cellStyle name="Normal 43 2 3 2 4 2" xfId="14726"/>
    <cellStyle name="Normal 43 2 3 2 5" xfId="10213"/>
    <cellStyle name="Normal 43 2 3 3" xfId="1726"/>
    <cellStyle name="Normal 43 2 3 3 2" xfId="3252"/>
    <cellStyle name="Normal 43 2 3 3 2 2" xfId="7767"/>
    <cellStyle name="Normal 43 2 3 3 2 2 2" xfId="16808"/>
    <cellStyle name="Normal 43 2 3 3 2 3" xfId="12295"/>
    <cellStyle name="Normal 43 2 3 3 3" xfId="6249"/>
    <cellStyle name="Normal 43 2 3 3 3 2" xfId="15290"/>
    <cellStyle name="Normal 43 2 3 3 4" xfId="10777"/>
    <cellStyle name="Normal 43 2 3 4" xfId="3249"/>
    <cellStyle name="Normal 43 2 3 4 2" xfId="7764"/>
    <cellStyle name="Normal 43 2 3 4 2 2" xfId="16805"/>
    <cellStyle name="Normal 43 2 3 4 3" xfId="12292"/>
    <cellStyle name="Normal 43 2 3 5" xfId="5121"/>
    <cellStyle name="Normal 43 2 3 5 2" xfId="14162"/>
    <cellStyle name="Normal 43 2 3 6" xfId="9649"/>
    <cellStyle name="Normal 43 2 4" xfId="744"/>
    <cellStyle name="Normal 43 2 4 2" xfId="1914"/>
    <cellStyle name="Normal 43 2 4 2 2" xfId="3254"/>
    <cellStyle name="Normal 43 2 4 2 2 2" xfId="7769"/>
    <cellStyle name="Normal 43 2 4 2 2 2 2" xfId="16810"/>
    <cellStyle name="Normal 43 2 4 2 2 3" xfId="12297"/>
    <cellStyle name="Normal 43 2 4 2 3" xfId="6437"/>
    <cellStyle name="Normal 43 2 4 2 3 2" xfId="15478"/>
    <cellStyle name="Normal 43 2 4 2 4" xfId="10965"/>
    <cellStyle name="Normal 43 2 4 3" xfId="3253"/>
    <cellStyle name="Normal 43 2 4 3 2" xfId="7768"/>
    <cellStyle name="Normal 43 2 4 3 2 2" xfId="16809"/>
    <cellStyle name="Normal 43 2 4 3 3" xfId="12296"/>
    <cellStyle name="Normal 43 2 4 4" xfId="5309"/>
    <cellStyle name="Normal 43 2 4 4 2" xfId="14350"/>
    <cellStyle name="Normal 43 2 4 5" xfId="9837"/>
    <cellStyle name="Normal 43 2 5" xfId="1350"/>
    <cellStyle name="Normal 43 2 5 2" xfId="3255"/>
    <cellStyle name="Normal 43 2 5 2 2" xfId="7770"/>
    <cellStyle name="Normal 43 2 5 2 2 2" xfId="16811"/>
    <cellStyle name="Normal 43 2 5 2 3" xfId="12298"/>
    <cellStyle name="Normal 43 2 5 3" xfId="5873"/>
    <cellStyle name="Normal 43 2 5 3 2" xfId="14914"/>
    <cellStyle name="Normal 43 2 5 4" xfId="10401"/>
    <cellStyle name="Normal 43 2 6" xfId="3244"/>
    <cellStyle name="Normal 43 2 6 2" xfId="7759"/>
    <cellStyle name="Normal 43 2 6 2 2" xfId="16800"/>
    <cellStyle name="Normal 43 2 6 3" xfId="12287"/>
    <cellStyle name="Normal 43 2 7" xfId="4745"/>
    <cellStyle name="Normal 43 2 7 2" xfId="13786"/>
    <cellStyle name="Normal 43 2 8" xfId="9273"/>
    <cellStyle name="Normal 43 3" xfId="274"/>
    <cellStyle name="Normal 43 3 2" xfId="838"/>
    <cellStyle name="Normal 43 3 2 2" xfId="2008"/>
    <cellStyle name="Normal 43 3 2 2 2" xfId="3258"/>
    <cellStyle name="Normal 43 3 2 2 2 2" xfId="7773"/>
    <cellStyle name="Normal 43 3 2 2 2 2 2" xfId="16814"/>
    <cellStyle name="Normal 43 3 2 2 2 3" xfId="12301"/>
    <cellStyle name="Normal 43 3 2 2 3" xfId="6531"/>
    <cellStyle name="Normal 43 3 2 2 3 2" xfId="15572"/>
    <cellStyle name="Normal 43 3 2 2 4" xfId="11059"/>
    <cellStyle name="Normal 43 3 2 3" xfId="3257"/>
    <cellStyle name="Normal 43 3 2 3 2" xfId="7772"/>
    <cellStyle name="Normal 43 3 2 3 2 2" xfId="16813"/>
    <cellStyle name="Normal 43 3 2 3 3" xfId="12300"/>
    <cellStyle name="Normal 43 3 2 4" xfId="5403"/>
    <cellStyle name="Normal 43 3 2 4 2" xfId="14444"/>
    <cellStyle name="Normal 43 3 2 5" xfId="9931"/>
    <cellStyle name="Normal 43 3 3" xfId="1444"/>
    <cellStyle name="Normal 43 3 3 2" xfId="3259"/>
    <cellStyle name="Normal 43 3 3 2 2" xfId="7774"/>
    <cellStyle name="Normal 43 3 3 2 2 2" xfId="16815"/>
    <cellStyle name="Normal 43 3 3 2 3" xfId="12302"/>
    <cellStyle name="Normal 43 3 3 3" xfId="5967"/>
    <cellStyle name="Normal 43 3 3 3 2" xfId="15008"/>
    <cellStyle name="Normal 43 3 3 4" xfId="10495"/>
    <cellStyle name="Normal 43 3 4" xfId="3256"/>
    <cellStyle name="Normal 43 3 4 2" xfId="7771"/>
    <cellStyle name="Normal 43 3 4 2 2" xfId="16812"/>
    <cellStyle name="Normal 43 3 4 3" xfId="12299"/>
    <cellStyle name="Normal 43 3 5" xfId="4839"/>
    <cellStyle name="Normal 43 3 5 2" xfId="13880"/>
    <cellStyle name="Normal 43 3 6" xfId="9367"/>
    <cellStyle name="Normal 43 4" xfId="462"/>
    <cellStyle name="Normal 43 4 2" xfId="1026"/>
    <cellStyle name="Normal 43 4 2 2" xfId="2196"/>
    <cellStyle name="Normal 43 4 2 2 2" xfId="3262"/>
    <cellStyle name="Normal 43 4 2 2 2 2" xfId="7777"/>
    <cellStyle name="Normal 43 4 2 2 2 2 2" xfId="16818"/>
    <cellStyle name="Normal 43 4 2 2 2 3" xfId="12305"/>
    <cellStyle name="Normal 43 4 2 2 3" xfId="6719"/>
    <cellStyle name="Normal 43 4 2 2 3 2" xfId="15760"/>
    <cellStyle name="Normal 43 4 2 2 4" xfId="11247"/>
    <cellStyle name="Normal 43 4 2 3" xfId="3261"/>
    <cellStyle name="Normal 43 4 2 3 2" xfId="7776"/>
    <cellStyle name="Normal 43 4 2 3 2 2" xfId="16817"/>
    <cellStyle name="Normal 43 4 2 3 3" xfId="12304"/>
    <cellStyle name="Normal 43 4 2 4" xfId="5591"/>
    <cellStyle name="Normal 43 4 2 4 2" xfId="14632"/>
    <cellStyle name="Normal 43 4 2 5" xfId="10119"/>
    <cellStyle name="Normal 43 4 3" xfId="1632"/>
    <cellStyle name="Normal 43 4 3 2" xfId="3263"/>
    <cellStyle name="Normal 43 4 3 2 2" xfId="7778"/>
    <cellStyle name="Normal 43 4 3 2 2 2" xfId="16819"/>
    <cellStyle name="Normal 43 4 3 2 3" xfId="12306"/>
    <cellStyle name="Normal 43 4 3 3" xfId="6155"/>
    <cellStyle name="Normal 43 4 3 3 2" xfId="15196"/>
    <cellStyle name="Normal 43 4 3 4" xfId="10683"/>
    <cellStyle name="Normal 43 4 4" xfId="3260"/>
    <cellStyle name="Normal 43 4 4 2" xfId="7775"/>
    <cellStyle name="Normal 43 4 4 2 2" xfId="16816"/>
    <cellStyle name="Normal 43 4 4 3" xfId="12303"/>
    <cellStyle name="Normal 43 4 5" xfId="5027"/>
    <cellStyle name="Normal 43 4 5 2" xfId="14068"/>
    <cellStyle name="Normal 43 4 6" xfId="9555"/>
    <cellStyle name="Normal 43 5" xfId="650"/>
    <cellStyle name="Normal 43 5 2" xfId="1820"/>
    <cellStyle name="Normal 43 5 2 2" xfId="3265"/>
    <cellStyle name="Normal 43 5 2 2 2" xfId="7780"/>
    <cellStyle name="Normal 43 5 2 2 2 2" xfId="16821"/>
    <cellStyle name="Normal 43 5 2 2 3" xfId="12308"/>
    <cellStyle name="Normal 43 5 2 3" xfId="6343"/>
    <cellStyle name="Normal 43 5 2 3 2" xfId="15384"/>
    <cellStyle name="Normal 43 5 2 4" xfId="10871"/>
    <cellStyle name="Normal 43 5 3" xfId="3264"/>
    <cellStyle name="Normal 43 5 3 2" xfId="7779"/>
    <cellStyle name="Normal 43 5 3 2 2" xfId="16820"/>
    <cellStyle name="Normal 43 5 3 3" xfId="12307"/>
    <cellStyle name="Normal 43 5 4" xfId="5215"/>
    <cellStyle name="Normal 43 5 4 2" xfId="14256"/>
    <cellStyle name="Normal 43 5 5" xfId="9743"/>
    <cellStyle name="Normal 43 6" xfId="1256"/>
    <cellStyle name="Normal 43 6 2" xfId="3266"/>
    <cellStyle name="Normal 43 6 2 2" xfId="7781"/>
    <cellStyle name="Normal 43 6 2 2 2" xfId="16822"/>
    <cellStyle name="Normal 43 6 2 3" xfId="12309"/>
    <cellStyle name="Normal 43 6 3" xfId="5779"/>
    <cellStyle name="Normal 43 6 3 2" xfId="14820"/>
    <cellStyle name="Normal 43 6 4" xfId="10307"/>
    <cellStyle name="Normal 43 7" xfId="3243"/>
    <cellStyle name="Normal 43 7 2" xfId="7758"/>
    <cellStyle name="Normal 43 7 2 2" xfId="16799"/>
    <cellStyle name="Normal 43 7 3" xfId="12286"/>
    <cellStyle name="Normal 43 8" xfId="4651"/>
    <cellStyle name="Normal 43 8 2" xfId="13692"/>
    <cellStyle name="Normal 43 9" xfId="9179"/>
    <cellStyle name="Normal 44" xfId="44"/>
    <cellStyle name="Normal 44 2" xfId="140"/>
    <cellStyle name="Normal 44 2 2" xfId="369"/>
    <cellStyle name="Normal 44 2 2 2" xfId="933"/>
    <cellStyle name="Normal 44 2 2 2 2" xfId="2103"/>
    <cellStyle name="Normal 44 2 2 2 2 2" xfId="3271"/>
    <cellStyle name="Normal 44 2 2 2 2 2 2" xfId="7786"/>
    <cellStyle name="Normal 44 2 2 2 2 2 2 2" xfId="16827"/>
    <cellStyle name="Normal 44 2 2 2 2 2 3" xfId="12314"/>
    <cellStyle name="Normal 44 2 2 2 2 3" xfId="6626"/>
    <cellStyle name="Normal 44 2 2 2 2 3 2" xfId="15667"/>
    <cellStyle name="Normal 44 2 2 2 2 4" xfId="11154"/>
    <cellStyle name="Normal 44 2 2 2 3" xfId="3270"/>
    <cellStyle name="Normal 44 2 2 2 3 2" xfId="7785"/>
    <cellStyle name="Normal 44 2 2 2 3 2 2" xfId="16826"/>
    <cellStyle name="Normal 44 2 2 2 3 3" xfId="12313"/>
    <cellStyle name="Normal 44 2 2 2 4" xfId="5498"/>
    <cellStyle name="Normal 44 2 2 2 4 2" xfId="14539"/>
    <cellStyle name="Normal 44 2 2 2 5" xfId="10026"/>
    <cellStyle name="Normal 44 2 2 3" xfId="1539"/>
    <cellStyle name="Normal 44 2 2 3 2" xfId="3272"/>
    <cellStyle name="Normal 44 2 2 3 2 2" xfId="7787"/>
    <cellStyle name="Normal 44 2 2 3 2 2 2" xfId="16828"/>
    <cellStyle name="Normal 44 2 2 3 2 3" xfId="12315"/>
    <cellStyle name="Normal 44 2 2 3 3" xfId="6062"/>
    <cellStyle name="Normal 44 2 2 3 3 2" xfId="15103"/>
    <cellStyle name="Normal 44 2 2 3 4" xfId="10590"/>
    <cellStyle name="Normal 44 2 2 4" xfId="3269"/>
    <cellStyle name="Normal 44 2 2 4 2" xfId="7784"/>
    <cellStyle name="Normal 44 2 2 4 2 2" xfId="16825"/>
    <cellStyle name="Normal 44 2 2 4 3" xfId="12312"/>
    <cellStyle name="Normal 44 2 2 5" xfId="4934"/>
    <cellStyle name="Normal 44 2 2 5 2" xfId="13975"/>
    <cellStyle name="Normal 44 2 2 6" xfId="9462"/>
    <cellStyle name="Normal 44 2 3" xfId="557"/>
    <cellStyle name="Normal 44 2 3 2" xfId="1121"/>
    <cellStyle name="Normal 44 2 3 2 2" xfId="2291"/>
    <cellStyle name="Normal 44 2 3 2 2 2" xfId="3275"/>
    <cellStyle name="Normal 44 2 3 2 2 2 2" xfId="7790"/>
    <cellStyle name="Normal 44 2 3 2 2 2 2 2" xfId="16831"/>
    <cellStyle name="Normal 44 2 3 2 2 2 3" xfId="12318"/>
    <cellStyle name="Normal 44 2 3 2 2 3" xfId="6814"/>
    <cellStyle name="Normal 44 2 3 2 2 3 2" xfId="15855"/>
    <cellStyle name="Normal 44 2 3 2 2 4" xfId="11342"/>
    <cellStyle name="Normal 44 2 3 2 3" xfId="3274"/>
    <cellStyle name="Normal 44 2 3 2 3 2" xfId="7789"/>
    <cellStyle name="Normal 44 2 3 2 3 2 2" xfId="16830"/>
    <cellStyle name="Normal 44 2 3 2 3 3" xfId="12317"/>
    <cellStyle name="Normal 44 2 3 2 4" xfId="5686"/>
    <cellStyle name="Normal 44 2 3 2 4 2" xfId="14727"/>
    <cellStyle name="Normal 44 2 3 2 5" xfId="10214"/>
    <cellStyle name="Normal 44 2 3 3" xfId="1727"/>
    <cellStyle name="Normal 44 2 3 3 2" xfId="3276"/>
    <cellStyle name="Normal 44 2 3 3 2 2" xfId="7791"/>
    <cellStyle name="Normal 44 2 3 3 2 2 2" xfId="16832"/>
    <cellStyle name="Normal 44 2 3 3 2 3" xfId="12319"/>
    <cellStyle name="Normal 44 2 3 3 3" xfId="6250"/>
    <cellStyle name="Normal 44 2 3 3 3 2" xfId="15291"/>
    <cellStyle name="Normal 44 2 3 3 4" xfId="10778"/>
    <cellStyle name="Normal 44 2 3 4" xfId="3273"/>
    <cellStyle name="Normal 44 2 3 4 2" xfId="7788"/>
    <cellStyle name="Normal 44 2 3 4 2 2" xfId="16829"/>
    <cellStyle name="Normal 44 2 3 4 3" xfId="12316"/>
    <cellStyle name="Normal 44 2 3 5" xfId="5122"/>
    <cellStyle name="Normal 44 2 3 5 2" xfId="14163"/>
    <cellStyle name="Normal 44 2 3 6" xfId="9650"/>
    <cellStyle name="Normal 44 2 4" xfId="745"/>
    <cellStyle name="Normal 44 2 4 2" xfId="1915"/>
    <cellStyle name="Normal 44 2 4 2 2" xfId="3278"/>
    <cellStyle name="Normal 44 2 4 2 2 2" xfId="7793"/>
    <cellStyle name="Normal 44 2 4 2 2 2 2" xfId="16834"/>
    <cellStyle name="Normal 44 2 4 2 2 3" xfId="12321"/>
    <cellStyle name="Normal 44 2 4 2 3" xfId="6438"/>
    <cellStyle name="Normal 44 2 4 2 3 2" xfId="15479"/>
    <cellStyle name="Normal 44 2 4 2 4" xfId="10966"/>
    <cellStyle name="Normal 44 2 4 3" xfId="3277"/>
    <cellStyle name="Normal 44 2 4 3 2" xfId="7792"/>
    <cellStyle name="Normal 44 2 4 3 2 2" xfId="16833"/>
    <cellStyle name="Normal 44 2 4 3 3" xfId="12320"/>
    <cellStyle name="Normal 44 2 4 4" xfId="5310"/>
    <cellStyle name="Normal 44 2 4 4 2" xfId="14351"/>
    <cellStyle name="Normal 44 2 4 5" xfId="9838"/>
    <cellStyle name="Normal 44 2 5" xfId="1351"/>
    <cellStyle name="Normal 44 2 5 2" xfId="3279"/>
    <cellStyle name="Normal 44 2 5 2 2" xfId="7794"/>
    <cellStyle name="Normal 44 2 5 2 2 2" xfId="16835"/>
    <cellStyle name="Normal 44 2 5 2 3" xfId="12322"/>
    <cellStyle name="Normal 44 2 5 3" xfId="5874"/>
    <cellStyle name="Normal 44 2 5 3 2" xfId="14915"/>
    <cellStyle name="Normal 44 2 5 4" xfId="10402"/>
    <cellStyle name="Normal 44 2 6" xfId="3268"/>
    <cellStyle name="Normal 44 2 6 2" xfId="7783"/>
    <cellStyle name="Normal 44 2 6 2 2" xfId="16824"/>
    <cellStyle name="Normal 44 2 6 3" xfId="12311"/>
    <cellStyle name="Normal 44 2 7" xfId="4746"/>
    <cellStyle name="Normal 44 2 7 2" xfId="13787"/>
    <cellStyle name="Normal 44 2 8" xfId="9274"/>
    <cellStyle name="Normal 44 3" xfId="275"/>
    <cellStyle name="Normal 44 3 2" xfId="839"/>
    <cellStyle name="Normal 44 3 2 2" xfId="2009"/>
    <cellStyle name="Normal 44 3 2 2 2" xfId="3282"/>
    <cellStyle name="Normal 44 3 2 2 2 2" xfId="7797"/>
    <cellStyle name="Normal 44 3 2 2 2 2 2" xfId="16838"/>
    <cellStyle name="Normal 44 3 2 2 2 3" xfId="12325"/>
    <cellStyle name="Normal 44 3 2 2 3" xfId="6532"/>
    <cellStyle name="Normal 44 3 2 2 3 2" xfId="15573"/>
    <cellStyle name="Normal 44 3 2 2 4" xfId="11060"/>
    <cellStyle name="Normal 44 3 2 3" xfId="3281"/>
    <cellStyle name="Normal 44 3 2 3 2" xfId="7796"/>
    <cellStyle name="Normal 44 3 2 3 2 2" xfId="16837"/>
    <cellStyle name="Normal 44 3 2 3 3" xfId="12324"/>
    <cellStyle name="Normal 44 3 2 4" xfId="5404"/>
    <cellStyle name="Normal 44 3 2 4 2" xfId="14445"/>
    <cellStyle name="Normal 44 3 2 5" xfId="9932"/>
    <cellStyle name="Normal 44 3 3" xfId="1445"/>
    <cellStyle name="Normal 44 3 3 2" xfId="3283"/>
    <cellStyle name="Normal 44 3 3 2 2" xfId="7798"/>
    <cellStyle name="Normal 44 3 3 2 2 2" xfId="16839"/>
    <cellStyle name="Normal 44 3 3 2 3" xfId="12326"/>
    <cellStyle name="Normal 44 3 3 3" xfId="5968"/>
    <cellStyle name="Normal 44 3 3 3 2" xfId="15009"/>
    <cellStyle name="Normal 44 3 3 4" xfId="10496"/>
    <cellStyle name="Normal 44 3 4" xfId="3280"/>
    <cellStyle name="Normal 44 3 4 2" xfId="7795"/>
    <cellStyle name="Normal 44 3 4 2 2" xfId="16836"/>
    <cellStyle name="Normal 44 3 4 3" xfId="12323"/>
    <cellStyle name="Normal 44 3 5" xfId="4840"/>
    <cellStyle name="Normal 44 3 5 2" xfId="13881"/>
    <cellStyle name="Normal 44 3 6" xfId="9368"/>
    <cellStyle name="Normal 44 4" xfId="463"/>
    <cellStyle name="Normal 44 4 2" xfId="1027"/>
    <cellStyle name="Normal 44 4 2 2" xfId="2197"/>
    <cellStyle name="Normal 44 4 2 2 2" xfId="3286"/>
    <cellStyle name="Normal 44 4 2 2 2 2" xfId="7801"/>
    <cellStyle name="Normal 44 4 2 2 2 2 2" xfId="16842"/>
    <cellStyle name="Normal 44 4 2 2 2 3" xfId="12329"/>
    <cellStyle name="Normal 44 4 2 2 3" xfId="6720"/>
    <cellStyle name="Normal 44 4 2 2 3 2" xfId="15761"/>
    <cellStyle name="Normal 44 4 2 2 4" xfId="11248"/>
    <cellStyle name="Normal 44 4 2 3" xfId="3285"/>
    <cellStyle name="Normal 44 4 2 3 2" xfId="7800"/>
    <cellStyle name="Normal 44 4 2 3 2 2" xfId="16841"/>
    <cellStyle name="Normal 44 4 2 3 3" xfId="12328"/>
    <cellStyle name="Normal 44 4 2 4" xfId="5592"/>
    <cellStyle name="Normal 44 4 2 4 2" xfId="14633"/>
    <cellStyle name="Normal 44 4 2 5" xfId="10120"/>
    <cellStyle name="Normal 44 4 3" xfId="1633"/>
    <cellStyle name="Normal 44 4 3 2" xfId="3287"/>
    <cellStyle name="Normal 44 4 3 2 2" xfId="7802"/>
    <cellStyle name="Normal 44 4 3 2 2 2" xfId="16843"/>
    <cellStyle name="Normal 44 4 3 2 3" xfId="12330"/>
    <cellStyle name="Normal 44 4 3 3" xfId="6156"/>
    <cellStyle name="Normal 44 4 3 3 2" xfId="15197"/>
    <cellStyle name="Normal 44 4 3 4" xfId="10684"/>
    <cellStyle name="Normal 44 4 4" xfId="3284"/>
    <cellStyle name="Normal 44 4 4 2" xfId="7799"/>
    <cellStyle name="Normal 44 4 4 2 2" xfId="16840"/>
    <cellStyle name="Normal 44 4 4 3" xfId="12327"/>
    <cellStyle name="Normal 44 4 5" xfId="5028"/>
    <cellStyle name="Normal 44 4 5 2" xfId="14069"/>
    <cellStyle name="Normal 44 4 6" xfId="9556"/>
    <cellStyle name="Normal 44 5" xfId="651"/>
    <cellStyle name="Normal 44 5 2" xfId="1821"/>
    <cellStyle name="Normal 44 5 2 2" xfId="3289"/>
    <cellStyle name="Normal 44 5 2 2 2" xfId="7804"/>
    <cellStyle name="Normal 44 5 2 2 2 2" xfId="16845"/>
    <cellStyle name="Normal 44 5 2 2 3" xfId="12332"/>
    <cellStyle name="Normal 44 5 2 3" xfId="6344"/>
    <cellStyle name="Normal 44 5 2 3 2" xfId="15385"/>
    <cellStyle name="Normal 44 5 2 4" xfId="10872"/>
    <cellStyle name="Normal 44 5 3" xfId="3288"/>
    <cellStyle name="Normal 44 5 3 2" xfId="7803"/>
    <cellStyle name="Normal 44 5 3 2 2" xfId="16844"/>
    <cellStyle name="Normal 44 5 3 3" xfId="12331"/>
    <cellStyle name="Normal 44 5 4" xfId="5216"/>
    <cellStyle name="Normal 44 5 4 2" xfId="14257"/>
    <cellStyle name="Normal 44 5 5" xfId="9744"/>
    <cellStyle name="Normal 44 6" xfId="1257"/>
    <cellStyle name="Normal 44 6 2" xfId="3290"/>
    <cellStyle name="Normal 44 6 2 2" xfId="7805"/>
    <cellStyle name="Normal 44 6 2 2 2" xfId="16846"/>
    <cellStyle name="Normal 44 6 2 3" xfId="12333"/>
    <cellStyle name="Normal 44 6 3" xfId="5780"/>
    <cellStyle name="Normal 44 6 3 2" xfId="14821"/>
    <cellStyle name="Normal 44 6 4" xfId="10308"/>
    <cellStyle name="Normal 44 7" xfId="3267"/>
    <cellStyle name="Normal 44 7 2" xfId="7782"/>
    <cellStyle name="Normal 44 7 2 2" xfId="16823"/>
    <cellStyle name="Normal 44 7 3" xfId="12310"/>
    <cellStyle name="Normal 44 8" xfId="4652"/>
    <cellStyle name="Normal 44 8 2" xfId="13693"/>
    <cellStyle name="Normal 44 9" xfId="9180"/>
    <cellStyle name="Normal 45" xfId="45"/>
    <cellStyle name="Normal 45 2" xfId="141"/>
    <cellStyle name="Normal 45 2 2" xfId="370"/>
    <cellStyle name="Normal 45 2 2 2" xfId="934"/>
    <cellStyle name="Normal 45 2 2 2 2" xfId="2104"/>
    <cellStyle name="Normal 45 2 2 2 2 2" xfId="3295"/>
    <cellStyle name="Normal 45 2 2 2 2 2 2" xfId="7810"/>
    <cellStyle name="Normal 45 2 2 2 2 2 2 2" xfId="16851"/>
    <cellStyle name="Normal 45 2 2 2 2 2 3" xfId="12338"/>
    <cellStyle name="Normal 45 2 2 2 2 3" xfId="6627"/>
    <cellStyle name="Normal 45 2 2 2 2 3 2" xfId="15668"/>
    <cellStyle name="Normal 45 2 2 2 2 4" xfId="11155"/>
    <cellStyle name="Normal 45 2 2 2 3" xfId="3294"/>
    <cellStyle name="Normal 45 2 2 2 3 2" xfId="7809"/>
    <cellStyle name="Normal 45 2 2 2 3 2 2" xfId="16850"/>
    <cellStyle name="Normal 45 2 2 2 3 3" xfId="12337"/>
    <cellStyle name="Normal 45 2 2 2 4" xfId="5499"/>
    <cellStyle name="Normal 45 2 2 2 4 2" xfId="14540"/>
    <cellStyle name="Normal 45 2 2 2 5" xfId="10027"/>
    <cellStyle name="Normal 45 2 2 3" xfId="1540"/>
    <cellStyle name="Normal 45 2 2 3 2" xfId="3296"/>
    <cellStyle name="Normal 45 2 2 3 2 2" xfId="7811"/>
    <cellStyle name="Normal 45 2 2 3 2 2 2" xfId="16852"/>
    <cellStyle name="Normal 45 2 2 3 2 3" xfId="12339"/>
    <cellStyle name="Normal 45 2 2 3 3" xfId="6063"/>
    <cellStyle name="Normal 45 2 2 3 3 2" xfId="15104"/>
    <cellStyle name="Normal 45 2 2 3 4" xfId="10591"/>
    <cellStyle name="Normal 45 2 2 4" xfId="3293"/>
    <cellStyle name="Normal 45 2 2 4 2" xfId="7808"/>
    <cellStyle name="Normal 45 2 2 4 2 2" xfId="16849"/>
    <cellStyle name="Normal 45 2 2 4 3" xfId="12336"/>
    <cellStyle name="Normal 45 2 2 5" xfId="4935"/>
    <cellStyle name="Normal 45 2 2 5 2" xfId="13976"/>
    <cellStyle name="Normal 45 2 2 6" xfId="9463"/>
    <cellStyle name="Normal 45 2 3" xfId="558"/>
    <cellStyle name="Normal 45 2 3 2" xfId="1122"/>
    <cellStyle name="Normal 45 2 3 2 2" xfId="2292"/>
    <cellStyle name="Normal 45 2 3 2 2 2" xfId="3299"/>
    <cellStyle name="Normal 45 2 3 2 2 2 2" xfId="7814"/>
    <cellStyle name="Normal 45 2 3 2 2 2 2 2" xfId="16855"/>
    <cellStyle name="Normal 45 2 3 2 2 2 3" xfId="12342"/>
    <cellStyle name="Normal 45 2 3 2 2 3" xfId="6815"/>
    <cellStyle name="Normal 45 2 3 2 2 3 2" xfId="15856"/>
    <cellStyle name="Normal 45 2 3 2 2 4" xfId="11343"/>
    <cellStyle name="Normal 45 2 3 2 3" xfId="3298"/>
    <cellStyle name="Normal 45 2 3 2 3 2" xfId="7813"/>
    <cellStyle name="Normal 45 2 3 2 3 2 2" xfId="16854"/>
    <cellStyle name="Normal 45 2 3 2 3 3" xfId="12341"/>
    <cellStyle name="Normal 45 2 3 2 4" xfId="5687"/>
    <cellStyle name="Normal 45 2 3 2 4 2" xfId="14728"/>
    <cellStyle name="Normal 45 2 3 2 5" xfId="10215"/>
    <cellStyle name="Normal 45 2 3 3" xfId="1728"/>
    <cellStyle name="Normal 45 2 3 3 2" xfId="3300"/>
    <cellStyle name="Normal 45 2 3 3 2 2" xfId="7815"/>
    <cellStyle name="Normal 45 2 3 3 2 2 2" xfId="16856"/>
    <cellStyle name="Normal 45 2 3 3 2 3" xfId="12343"/>
    <cellStyle name="Normal 45 2 3 3 3" xfId="6251"/>
    <cellStyle name="Normal 45 2 3 3 3 2" xfId="15292"/>
    <cellStyle name="Normal 45 2 3 3 4" xfId="10779"/>
    <cellStyle name="Normal 45 2 3 4" xfId="3297"/>
    <cellStyle name="Normal 45 2 3 4 2" xfId="7812"/>
    <cellStyle name="Normal 45 2 3 4 2 2" xfId="16853"/>
    <cellStyle name="Normal 45 2 3 4 3" xfId="12340"/>
    <cellStyle name="Normal 45 2 3 5" xfId="5123"/>
    <cellStyle name="Normal 45 2 3 5 2" xfId="14164"/>
    <cellStyle name="Normal 45 2 3 6" xfId="9651"/>
    <cellStyle name="Normal 45 2 4" xfId="746"/>
    <cellStyle name="Normal 45 2 4 2" xfId="1916"/>
    <cellStyle name="Normal 45 2 4 2 2" xfId="3302"/>
    <cellStyle name="Normal 45 2 4 2 2 2" xfId="7817"/>
    <cellStyle name="Normal 45 2 4 2 2 2 2" xfId="16858"/>
    <cellStyle name="Normal 45 2 4 2 2 3" xfId="12345"/>
    <cellStyle name="Normal 45 2 4 2 3" xfId="6439"/>
    <cellStyle name="Normal 45 2 4 2 3 2" xfId="15480"/>
    <cellStyle name="Normal 45 2 4 2 4" xfId="10967"/>
    <cellStyle name="Normal 45 2 4 3" xfId="3301"/>
    <cellStyle name="Normal 45 2 4 3 2" xfId="7816"/>
    <cellStyle name="Normal 45 2 4 3 2 2" xfId="16857"/>
    <cellStyle name="Normal 45 2 4 3 3" xfId="12344"/>
    <cellStyle name="Normal 45 2 4 4" xfId="5311"/>
    <cellStyle name="Normal 45 2 4 4 2" xfId="14352"/>
    <cellStyle name="Normal 45 2 4 5" xfId="9839"/>
    <cellStyle name="Normal 45 2 5" xfId="1352"/>
    <cellStyle name="Normal 45 2 5 2" xfId="3303"/>
    <cellStyle name="Normal 45 2 5 2 2" xfId="7818"/>
    <cellStyle name="Normal 45 2 5 2 2 2" xfId="16859"/>
    <cellStyle name="Normal 45 2 5 2 3" xfId="12346"/>
    <cellStyle name="Normal 45 2 5 3" xfId="5875"/>
    <cellStyle name="Normal 45 2 5 3 2" xfId="14916"/>
    <cellStyle name="Normal 45 2 5 4" xfId="10403"/>
    <cellStyle name="Normal 45 2 6" xfId="3292"/>
    <cellStyle name="Normal 45 2 6 2" xfId="7807"/>
    <cellStyle name="Normal 45 2 6 2 2" xfId="16848"/>
    <cellStyle name="Normal 45 2 6 3" xfId="12335"/>
    <cellStyle name="Normal 45 2 7" xfId="4747"/>
    <cellStyle name="Normal 45 2 7 2" xfId="13788"/>
    <cellStyle name="Normal 45 2 8" xfId="9275"/>
    <cellStyle name="Normal 45 3" xfId="276"/>
    <cellStyle name="Normal 45 3 2" xfId="840"/>
    <cellStyle name="Normal 45 3 2 2" xfId="2010"/>
    <cellStyle name="Normal 45 3 2 2 2" xfId="3306"/>
    <cellStyle name="Normal 45 3 2 2 2 2" xfId="7821"/>
    <cellStyle name="Normal 45 3 2 2 2 2 2" xfId="16862"/>
    <cellStyle name="Normal 45 3 2 2 2 3" xfId="12349"/>
    <cellStyle name="Normal 45 3 2 2 3" xfId="6533"/>
    <cellStyle name="Normal 45 3 2 2 3 2" xfId="15574"/>
    <cellStyle name="Normal 45 3 2 2 4" xfId="11061"/>
    <cellStyle name="Normal 45 3 2 3" xfId="3305"/>
    <cellStyle name="Normal 45 3 2 3 2" xfId="7820"/>
    <cellStyle name="Normal 45 3 2 3 2 2" xfId="16861"/>
    <cellStyle name="Normal 45 3 2 3 3" xfId="12348"/>
    <cellStyle name="Normal 45 3 2 4" xfId="5405"/>
    <cellStyle name="Normal 45 3 2 4 2" xfId="14446"/>
    <cellStyle name="Normal 45 3 2 5" xfId="9933"/>
    <cellStyle name="Normal 45 3 3" xfId="1446"/>
    <cellStyle name="Normal 45 3 3 2" xfId="3307"/>
    <cellStyle name="Normal 45 3 3 2 2" xfId="7822"/>
    <cellStyle name="Normal 45 3 3 2 2 2" xfId="16863"/>
    <cellStyle name="Normal 45 3 3 2 3" xfId="12350"/>
    <cellStyle name="Normal 45 3 3 3" xfId="5969"/>
    <cellStyle name="Normal 45 3 3 3 2" xfId="15010"/>
    <cellStyle name="Normal 45 3 3 4" xfId="10497"/>
    <cellStyle name="Normal 45 3 4" xfId="3304"/>
    <cellStyle name="Normal 45 3 4 2" xfId="7819"/>
    <cellStyle name="Normal 45 3 4 2 2" xfId="16860"/>
    <cellStyle name="Normal 45 3 4 3" xfId="12347"/>
    <cellStyle name="Normal 45 3 5" xfId="4841"/>
    <cellStyle name="Normal 45 3 5 2" xfId="13882"/>
    <cellStyle name="Normal 45 3 6" xfId="9369"/>
    <cellStyle name="Normal 45 4" xfId="464"/>
    <cellStyle name="Normal 45 4 2" xfId="1028"/>
    <cellStyle name="Normal 45 4 2 2" xfId="2198"/>
    <cellStyle name="Normal 45 4 2 2 2" xfId="3310"/>
    <cellStyle name="Normal 45 4 2 2 2 2" xfId="7825"/>
    <cellStyle name="Normal 45 4 2 2 2 2 2" xfId="16866"/>
    <cellStyle name="Normal 45 4 2 2 2 3" xfId="12353"/>
    <cellStyle name="Normal 45 4 2 2 3" xfId="6721"/>
    <cellStyle name="Normal 45 4 2 2 3 2" xfId="15762"/>
    <cellStyle name="Normal 45 4 2 2 4" xfId="11249"/>
    <cellStyle name="Normal 45 4 2 3" xfId="3309"/>
    <cellStyle name="Normal 45 4 2 3 2" xfId="7824"/>
    <cellStyle name="Normal 45 4 2 3 2 2" xfId="16865"/>
    <cellStyle name="Normal 45 4 2 3 3" xfId="12352"/>
    <cellStyle name="Normal 45 4 2 4" xfId="5593"/>
    <cellStyle name="Normal 45 4 2 4 2" xfId="14634"/>
    <cellStyle name="Normal 45 4 2 5" xfId="10121"/>
    <cellStyle name="Normal 45 4 3" xfId="1634"/>
    <cellStyle name="Normal 45 4 3 2" xfId="3311"/>
    <cellStyle name="Normal 45 4 3 2 2" xfId="7826"/>
    <cellStyle name="Normal 45 4 3 2 2 2" xfId="16867"/>
    <cellStyle name="Normal 45 4 3 2 3" xfId="12354"/>
    <cellStyle name="Normal 45 4 3 3" xfId="6157"/>
    <cellStyle name="Normal 45 4 3 3 2" xfId="15198"/>
    <cellStyle name="Normal 45 4 3 4" xfId="10685"/>
    <cellStyle name="Normal 45 4 4" xfId="3308"/>
    <cellStyle name="Normal 45 4 4 2" xfId="7823"/>
    <cellStyle name="Normal 45 4 4 2 2" xfId="16864"/>
    <cellStyle name="Normal 45 4 4 3" xfId="12351"/>
    <cellStyle name="Normal 45 4 5" xfId="5029"/>
    <cellStyle name="Normal 45 4 5 2" xfId="14070"/>
    <cellStyle name="Normal 45 4 6" xfId="9557"/>
    <cellStyle name="Normal 45 5" xfId="652"/>
    <cellStyle name="Normal 45 5 2" xfId="1822"/>
    <cellStyle name="Normal 45 5 2 2" xfId="3313"/>
    <cellStyle name="Normal 45 5 2 2 2" xfId="7828"/>
    <cellStyle name="Normal 45 5 2 2 2 2" xfId="16869"/>
    <cellStyle name="Normal 45 5 2 2 3" xfId="12356"/>
    <cellStyle name="Normal 45 5 2 3" xfId="6345"/>
    <cellStyle name="Normal 45 5 2 3 2" xfId="15386"/>
    <cellStyle name="Normal 45 5 2 4" xfId="10873"/>
    <cellStyle name="Normal 45 5 3" xfId="3312"/>
    <cellStyle name="Normal 45 5 3 2" xfId="7827"/>
    <cellStyle name="Normal 45 5 3 2 2" xfId="16868"/>
    <cellStyle name="Normal 45 5 3 3" xfId="12355"/>
    <cellStyle name="Normal 45 5 4" xfId="5217"/>
    <cellStyle name="Normal 45 5 4 2" xfId="14258"/>
    <cellStyle name="Normal 45 5 5" xfId="9745"/>
    <cellStyle name="Normal 45 6" xfId="1258"/>
    <cellStyle name="Normal 45 6 2" xfId="3314"/>
    <cellStyle name="Normal 45 6 2 2" xfId="7829"/>
    <cellStyle name="Normal 45 6 2 2 2" xfId="16870"/>
    <cellStyle name="Normal 45 6 2 3" xfId="12357"/>
    <cellStyle name="Normal 45 6 3" xfId="5781"/>
    <cellStyle name="Normal 45 6 3 2" xfId="14822"/>
    <cellStyle name="Normal 45 6 4" xfId="10309"/>
    <cellStyle name="Normal 45 7" xfId="3291"/>
    <cellStyle name="Normal 45 7 2" xfId="7806"/>
    <cellStyle name="Normal 45 7 2 2" xfId="16847"/>
    <cellStyle name="Normal 45 7 3" xfId="12334"/>
    <cellStyle name="Normal 45 8" xfId="4653"/>
    <cellStyle name="Normal 45 8 2" xfId="13694"/>
    <cellStyle name="Normal 45 9" xfId="9181"/>
    <cellStyle name="Normal 46" xfId="46"/>
    <cellStyle name="Normal 46 2" xfId="142"/>
    <cellStyle name="Normal 46 2 2" xfId="371"/>
    <cellStyle name="Normal 46 2 2 2" xfId="935"/>
    <cellStyle name="Normal 46 2 2 2 2" xfId="2105"/>
    <cellStyle name="Normal 46 2 2 2 2 2" xfId="3319"/>
    <cellStyle name="Normal 46 2 2 2 2 2 2" xfId="7834"/>
    <cellStyle name="Normal 46 2 2 2 2 2 2 2" xfId="16875"/>
    <cellStyle name="Normal 46 2 2 2 2 2 3" xfId="12362"/>
    <cellStyle name="Normal 46 2 2 2 2 3" xfId="6628"/>
    <cellStyle name="Normal 46 2 2 2 2 3 2" xfId="15669"/>
    <cellStyle name="Normal 46 2 2 2 2 4" xfId="11156"/>
    <cellStyle name="Normal 46 2 2 2 3" xfId="3318"/>
    <cellStyle name="Normal 46 2 2 2 3 2" xfId="7833"/>
    <cellStyle name="Normal 46 2 2 2 3 2 2" xfId="16874"/>
    <cellStyle name="Normal 46 2 2 2 3 3" xfId="12361"/>
    <cellStyle name="Normal 46 2 2 2 4" xfId="5500"/>
    <cellStyle name="Normal 46 2 2 2 4 2" xfId="14541"/>
    <cellStyle name="Normal 46 2 2 2 5" xfId="10028"/>
    <cellStyle name="Normal 46 2 2 3" xfId="1541"/>
    <cellStyle name="Normal 46 2 2 3 2" xfId="3320"/>
    <cellStyle name="Normal 46 2 2 3 2 2" xfId="7835"/>
    <cellStyle name="Normal 46 2 2 3 2 2 2" xfId="16876"/>
    <cellStyle name="Normal 46 2 2 3 2 3" xfId="12363"/>
    <cellStyle name="Normal 46 2 2 3 3" xfId="6064"/>
    <cellStyle name="Normal 46 2 2 3 3 2" xfId="15105"/>
    <cellStyle name="Normal 46 2 2 3 4" xfId="10592"/>
    <cellStyle name="Normal 46 2 2 4" xfId="3317"/>
    <cellStyle name="Normal 46 2 2 4 2" xfId="7832"/>
    <cellStyle name="Normal 46 2 2 4 2 2" xfId="16873"/>
    <cellStyle name="Normal 46 2 2 4 3" xfId="12360"/>
    <cellStyle name="Normal 46 2 2 5" xfId="4936"/>
    <cellStyle name="Normal 46 2 2 5 2" xfId="13977"/>
    <cellStyle name="Normal 46 2 2 6" xfId="9464"/>
    <cellStyle name="Normal 46 2 3" xfId="559"/>
    <cellStyle name="Normal 46 2 3 2" xfId="1123"/>
    <cellStyle name="Normal 46 2 3 2 2" xfId="2293"/>
    <cellStyle name="Normal 46 2 3 2 2 2" xfId="3323"/>
    <cellStyle name="Normal 46 2 3 2 2 2 2" xfId="7838"/>
    <cellStyle name="Normal 46 2 3 2 2 2 2 2" xfId="16879"/>
    <cellStyle name="Normal 46 2 3 2 2 2 3" xfId="12366"/>
    <cellStyle name="Normal 46 2 3 2 2 3" xfId="6816"/>
    <cellStyle name="Normal 46 2 3 2 2 3 2" xfId="15857"/>
    <cellStyle name="Normal 46 2 3 2 2 4" xfId="11344"/>
    <cellStyle name="Normal 46 2 3 2 3" xfId="3322"/>
    <cellStyle name="Normal 46 2 3 2 3 2" xfId="7837"/>
    <cellStyle name="Normal 46 2 3 2 3 2 2" xfId="16878"/>
    <cellStyle name="Normal 46 2 3 2 3 3" xfId="12365"/>
    <cellStyle name="Normal 46 2 3 2 4" xfId="5688"/>
    <cellStyle name="Normal 46 2 3 2 4 2" xfId="14729"/>
    <cellStyle name="Normal 46 2 3 2 5" xfId="10216"/>
    <cellStyle name="Normal 46 2 3 3" xfId="1729"/>
    <cellStyle name="Normal 46 2 3 3 2" xfId="3324"/>
    <cellStyle name="Normal 46 2 3 3 2 2" xfId="7839"/>
    <cellStyle name="Normal 46 2 3 3 2 2 2" xfId="16880"/>
    <cellStyle name="Normal 46 2 3 3 2 3" xfId="12367"/>
    <cellStyle name="Normal 46 2 3 3 3" xfId="6252"/>
    <cellStyle name="Normal 46 2 3 3 3 2" xfId="15293"/>
    <cellStyle name="Normal 46 2 3 3 4" xfId="10780"/>
    <cellStyle name="Normal 46 2 3 4" xfId="3321"/>
    <cellStyle name="Normal 46 2 3 4 2" xfId="7836"/>
    <cellStyle name="Normal 46 2 3 4 2 2" xfId="16877"/>
    <cellStyle name="Normal 46 2 3 4 3" xfId="12364"/>
    <cellStyle name="Normal 46 2 3 5" xfId="5124"/>
    <cellStyle name="Normal 46 2 3 5 2" xfId="14165"/>
    <cellStyle name="Normal 46 2 3 6" xfId="9652"/>
    <cellStyle name="Normal 46 2 4" xfId="747"/>
    <cellStyle name="Normal 46 2 4 2" xfId="1917"/>
    <cellStyle name="Normal 46 2 4 2 2" xfId="3326"/>
    <cellStyle name="Normal 46 2 4 2 2 2" xfId="7841"/>
    <cellStyle name="Normal 46 2 4 2 2 2 2" xfId="16882"/>
    <cellStyle name="Normal 46 2 4 2 2 3" xfId="12369"/>
    <cellStyle name="Normal 46 2 4 2 3" xfId="6440"/>
    <cellStyle name="Normal 46 2 4 2 3 2" xfId="15481"/>
    <cellStyle name="Normal 46 2 4 2 4" xfId="10968"/>
    <cellStyle name="Normal 46 2 4 3" xfId="3325"/>
    <cellStyle name="Normal 46 2 4 3 2" xfId="7840"/>
    <cellStyle name="Normal 46 2 4 3 2 2" xfId="16881"/>
    <cellStyle name="Normal 46 2 4 3 3" xfId="12368"/>
    <cellStyle name="Normal 46 2 4 4" xfId="5312"/>
    <cellStyle name="Normal 46 2 4 4 2" xfId="14353"/>
    <cellStyle name="Normal 46 2 4 5" xfId="9840"/>
    <cellStyle name="Normal 46 2 5" xfId="1353"/>
    <cellStyle name="Normal 46 2 5 2" xfId="3327"/>
    <cellStyle name="Normal 46 2 5 2 2" xfId="7842"/>
    <cellStyle name="Normal 46 2 5 2 2 2" xfId="16883"/>
    <cellStyle name="Normal 46 2 5 2 3" xfId="12370"/>
    <cellStyle name="Normal 46 2 5 3" xfId="5876"/>
    <cellStyle name="Normal 46 2 5 3 2" xfId="14917"/>
    <cellStyle name="Normal 46 2 5 4" xfId="10404"/>
    <cellStyle name="Normal 46 2 6" xfId="3316"/>
    <cellStyle name="Normal 46 2 6 2" xfId="7831"/>
    <cellStyle name="Normal 46 2 6 2 2" xfId="16872"/>
    <cellStyle name="Normal 46 2 6 3" xfId="12359"/>
    <cellStyle name="Normal 46 2 7" xfId="4748"/>
    <cellStyle name="Normal 46 2 7 2" xfId="13789"/>
    <cellStyle name="Normal 46 2 8" xfId="9276"/>
    <cellStyle name="Normal 46 3" xfId="277"/>
    <cellStyle name="Normal 46 3 2" xfId="841"/>
    <cellStyle name="Normal 46 3 2 2" xfId="2011"/>
    <cellStyle name="Normal 46 3 2 2 2" xfId="3330"/>
    <cellStyle name="Normal 46 3 2 2 2 2" xfId="7845"/>
    <cellStyle name="Normal 46 3 2 2 2 2 2" xfId="16886"/>
    <cellStyle name="Normal 46 3 2 2 2 3" xfId="12373"/>
    <cellStyle name="Normal 46 3 2 2 3" xfId="6534"/>
    <cellStyle name="Normal 46 3 2 2 3 2" xfId="15575"/>
    <cellStyle name="Normal 46 3 2 2 4" xfId="11062"/>
    <cellStyle name="Normal 46 3 2 3" xfId="3329"/>
    <cellStyle name="Normal 46 3 2 3 2" xfId="7844"/>
    <cellStyle name="Normal 46 3 2 3 2 2" xfId="16885"/>
    <cellStyle name="Normal 46 3 2 3 3" xfId="12372"/>
    <cellStyle name="Normal 46 3 2 4" xfId="5406"/>
    <cellStyle name="Normal 46 3 2 4 2" xfId="14447"/>
    <cellStyle name="Normal 46 3 2 5" xfId="9934"/>
    <cellStyle name="Normal 46 3 3" xfId="1447"/>
    <cellStyle name="Normal 46 3 3 2" xfId="3331"/>
    <cellStyle name="Normal 46 3 3 2 2" xfId="7846"/>
    <cellStyle name="Normal 46 3 3 2 2 2" xfId="16887"/>
    <cellStyle name="Normal 46 3 3 2 3" xfId="12374"/>
    <cellStyle name="Normal 46 3 3 3" xfId="5970"/>
    <cellStyle name="Normal 46 3 3 3 2" xfId="15011"/>
    <cellStyle name="Normal 46 3 3 4" xfId="10498"/>
    <cellStyle name="Normal 46 3 4" xfId="3328"/>
    <cellStyle name="Normal 46 3 4 2" xfId="7843"/>
    <cellStyle name="Normal 46 3 4 2 2" xfId="16884"/>
    <cellStyle name="Normal 46 3 4 3" xfId="12371"/>
    <cellStyle name="Normal 46 3 5" xfId="4842"/>
    <cellStyle name="Normal 46 3 5 2" xfId="13883"/>
    <cellStyle name="Normal 46 3 6" xfId="9370"/>
    <cellStyle name="Normal 46 4" xfId="465"/>
    <cellStyle name="Normal 46 4 2" xfId="1029"/>
    <cellStyle name="Normal 46 4 2 2" xfId="2199"/>
    <cellStyle name="Normal 46 4 2 2 2" xfId="3334"/>
    <cellStyle name="Normal 46 4 2 2 2 2" xfId="7849"/>
    <cellStyle name="Normal 46 4 2 2 2 2 2" xfId="16890"/>
    <cellStyle name="Normal 46 4 2 2 2 3" xfId="12377"/>
    <cellStyle name="Normal 46 4 2 2 3" xfId="6722"/>
    <cellStyle name="Normal 46 4 2 2 3 2" xfId="15763"/>
    <cellStyle name="Normal 46 4 2 2 4" xfId="11250"/>
    <cellStyle name="Normal 46 4 2 3" xfId="3333"/>
    <cellStyle name="Normal 46 4 2 3 2" xfId="7848"/>
    <cellStyle name="Normal 46 4 2 3 2 2" xfId="16889"/>
    <cellStyle name="Normal 46 4 2 3 3" xfId="12376"/>
    <cellStyle name="Normal 46 4 2 4" xfId="5594"/>
    <cellStyle name="Normal 46 4 2 4 2" xfId="14635"/>
    <cellStyle name="Normal 46 4 2 5" xfId="10122"/>
    <cellStyle name="Normal 46 4 3" xfId="1635"/>
    <cellStyle name="Normal 46 4 3 2" xfId="3335"/>
    <cellStyle name="Normal 46 4 3 2 2" xfId="7850"/>
    <cellStyle name="Normal 46 4 3 2 2 2" xfId="16891"/>
    <cellStyle name="Normal 46 4 3 2 3" xfId="12378"/>
    <cellStyle name="Normal 46 4 3 3" xfId="6158"/>
    <cellStyle name="Normal 46 4 3 3 2" xfId="15199"/>
    <cellStyle name="Normal 46 4 3 4" xfId="10686"/>
    <cellStyle name="Normal 46 4 4" xfId="3332"/>
    <cellStyle name="Normal 46 4 4 2" xfId="7847"/>
    <cellStyle name="Normal 46 4 4 2 2" xfId="16888"/>
    <cellStyle name="Normal 46 4 4 3" xfId="12375"/>
    <cellStyle name="Normal 46 4 5" xfId="5030"/>
    <cellStyle name="Normal 46 4 5 2" xfId="14071"/>
    <cellStyle name="Normal 46 4 6" xfId="9558"/>
    <cellStyle name="Normal 46 5" xfId="653"/>
    <cellStyle name="Normal 46 5 2" xfId="1823"/>
    <cellStyle name="Normal 46 5 2 2" xfId="3337"/>
    <cellStyle name="Normal 46 5 2 2 2" xfId="7852"/>
    <cellStyle name="Normal 46 5 2 2 2 2" xfId="16893"/>
    <cellStyle name="Normal 46 5 2 2 3" xfId="12380"/>
    <cellStyle name="Normal 46 5 2 3" xfId="6346"/>
    <cellStyle name="Normal 46 5 2 3 2" xfId="15387"/>
    <cellStyle name="Normal 46 5 2 4" xfId="10874"/>
    <cellStyle name="Normal 46 5 3" xfId="3336"/>
    <cellStyle name="Normal 46 5 3 2" xfId="7851"/>
    <cellStyle name="Normal 46 5 3 2 2" xfId="16892"/>
    <cellStyle name="Normal 46 5 3 3" xfId="12379"/>
    <cellStyle name="Normal 46 5 4" xfId="5218"/>
    <cellStyle name="Normal 46 5 4 2" xfId="14259"/>
    <cellStyle name="Normal 46 5 5" xfId="9746"/>
    <cellStyle name="Normal 46 6" xfId="1259"/>
    <cellStyle name="Normal 46 6 2" xfId="3338"/>
    <cellStyle name="Normal 46 6 2 2" xfId="7853"/>
    <cellStyle name="Normal 46 6 2 2 2" xfId="16894"/>
    <cellStyle name="Normal 46 6 2 3" xfId="12381"/>
    <cellStyle name="Normal 46 6 3" xfId="5782"/>
    <cellStyle name="Normal 46 6 3 2" xfId="14823"/>
    <cellStyle name="Normal 46 6 4" xfId="10310"/>
    <cellStyle name="Normal 46 7" xfId="3315"/>
    <cellStyle name="Normal 46 7 2" xfId="7830"/>
    <cellStyle name="Normal 46 7 2 2" xfId="16871"/>
    <cellStyle name="Normal 46 7 3" xfId="12358"/>
    <cellStyle name="Normal 46 8" xfId="4654"/>
    <cellStyle name="Normal 46 8 2" xfId="13695"/>
    <cellStyle name="Normal 46 9" xfId="9182"/>
    <cellStyle name="Normal 47" xfId="47"/>
    <cellStyle name="Normal 47 2" xfId="143"/>
    <cellStyle name="Normal 47 2 2" xfId="372"/>
    <cellStyle name="Normal 47 2 2 2" xfId="936"/>
    <cellStyle name="Normal 47 2 2 2 2" xfId="2106"/>
    <cellStyle name="Normal 47 2 2 2 2 2" xfId="3343"/>
    <cellStyle name="Normal 47 2 2 2 2 2 2" xfId="7858"/>
    <cellStyle name="Normal 47 2 2 2 2 2 2 2" xfId="16899"/>
    <cellStyle name="Normal 47 2 2 2 2 2 3" xfId="12386"/>
    <cellStyle name="Normal 47 2 2 2 2 3" xfId="6629"/>
    <cellStyle name="Normal 47 2 2 2 2 3 2" xfId="15670"/>
    <cellStyle name="Normal 47 2 2 2 2 4" xfId="11157"/>
    <cellStyle name="Normal 47 2 2 2 3" xfId="3342"/>
    <cellStyle name="Normal 47 2 2 2 3 2" xfId="7857"/>
    <cellStyle name="Normal 47 2 2 2 3 2 2" xfId="16898"/>
    <cellStyle name="Normal 47 2 2 2 3 3" xfId="12385"/>
    <cellStyle name="Normal 47 2 2 2 4" xfId="5501"/>
    <cellStyle name="Normal 47 2 2 2 4 2" xfId="14542"/>
    <cellStyle name="Normal 47 2 2 2 5" xfId="10029"/>
    <cellStyle name="Normal 47 2 2 3" xfId="1542"/>
    <cellStyle name="Normal 47 2 2 3 2" xfId="3344"/>
    <cellStyle name="Normal 47 2 2 3 2 2" xfId="7859"/>
    <cellStyle name="Normal 47 2 2 3 2 2 2" xfId="16900"/>
    <cellStyle name="Normal 47 2 2 3 2 3" xfId="12387"/>
    <cellStyle name="Normal 47 2 2 3 3" xfId="6065"/>
    <cellStyle name="Normal 47 2 2 3 3 2" xfId="15106"/>
    <cellStyle name="Normal 47 2 2 3 4" xfId="10593"/>
    <cellStyle name="Normal 47 2 2 4" xfId="3341"/>
    <cellStyle name="Normal 47 2 2 4 2" xfId="7856"/>
    <cellStyle name="Normal 47 2 2 4 2 2" xfId="16897"/>
    <cellStyle name="Normal 47 2 2 4 3" xfId="12384"/>
    <cellStyle name="Normal 47 2 2 5" xfId="4937"/>
    <cellStyle name="Normal 47 2 2 5 2" xfId="13978"/>
    <cellStyle name="Normal 47 2 2 6" xfId="9465"/>
    <cellStyle name="Normal 47 2 3" xfId="560"/>
    <cellStyle name="Normal 47 2 3 2" xfId="1124"/>
    <cellStyle name="Normal 47 2 3 2 2" xfId="2294"/>
    <cellStyle name="Normal 47 2 3 2 2 2" xfId="3347"/>
    <cellStyle name="Normal 47 2 3 2 2 2 2" xfId="7862"/>
    <cellStyle name="Normal 47 2 3 2 2 2 2 2" xfId="16903"/>
    <cellStyle name="Normal 47 2 3 2 2 2 3" xfId="12390"/>
    <cellStyle name="Normal 47 2 3 2 2 3" xfId="6817"/>
    <cellStyle name="Normal 47 2 3 2 2 3 2" xfId="15858"/>
    <cellStyle name="Normal 47 2 3 2 2 4" xfId="11345"/>
    <cellStyle name="Normal 47 2 3 2 3" xfId="3346"/>
    <cellStyle name="Normal 47 2 3 2 3 2" xfId="7861"/>
    <cellStyle name="Normal 47 2 3 2 3 2 2" xfId="16902"/>
    <cellStyle name="Normal 47 2 3 2 3 3" xfId="12389"/>
    <cellStyle name="Normal 47 2 3 2 4" xfId="5689"/>
    <cellStyle name="Normal 47 2 3 2 4 2" xfId="14730"/>
    <cellStyle name="Normal 47 2 3 2 5" xfId="10217"/>
    <cellStyle name="Normal 47 2 3 3" xfId="1730"/>
    <cellStyle name="Normal 47 2 3 3 2" xfId="3348"/>
    <cellStyle name="Normal 47 2 3 3 2 2" xfId="7863"/>
    <cellStyle name="Normal 47 2 3 3 2 2 2" xfId="16904"/>
    <cellStyle name="Normal 47 2 3 3 2 3" xfId="12391"/>
    <cellStyle name="Normal 47 2 3 3 3" xfId="6253"/>
    <cellStyle name="Normal 47 2 3 3 3 2" xfId="15294"/>
    <cellStyle name="Normal 47 2 3 3 4" xfId="10781"/>
    <cellStyle name="Normal 47 2 3 4" xfId="3345"/>
    <cellStyle name="Normal 47 2 3 4 2" xfId="7860"/>
    <cellStyle name="Normal 47 2 3 4 2 2" xfId="16901"/>
    <cellStyle name="Normal 47 2 3 4 3" xfId="12388"/>
    <cellStyle name="Normal 47 2 3 5" xfId="5125"/>
    <cellStyle name="Normal 47 2 3 5 2" xfId="14166"/>
    <cellStyle name="Normal 47 2 3 6" xfId="9653"/>
    <cellStyle name="Normal 47 2 4" xfId="748"/>
    <cellStyle name="Normal 47 2 4 2" xfId="1918"/>
    <cellStyle name="Normal 47 2 4 2 2" xfId="3350"/>
    <cellStyle name="Normal 47 2 4 2 2 2" xfId="7865"/>
    <cellStyle name="Normal 47 2 4 2 2 2 2" xfId="16906"/>
    <cellStyle name="Normal 47 2 4 2 2 3" xfId="12393"/>
    <cellStyle name="Normal 47 2 4 2 3" xfId="6441"/>
    <cellStyle name="Normal 47 2 4 2 3 2" xfId="15482"/>
    <cellStyle name="Normal 47 2 4 2 4" xfId="10969"/>
    <cellStyle name="Normal 47 2 4 3" xfId="3349"/>
    <cellStyle name="Normal 47 2 4 3 2" xfId="7864"/>
    <cellStyle name="Normal 47 2 4 3 2 2" xfId="16905"/>
    <cellStyle name="Normal 47 2 4 3 3" xfId="12392"/>
    <cellStyle name="Normal 47 2 4 4" xfId="5313"/>
    <cellStyle name="Normal 47 2 4 4 2" xfId="14354"/>
    <cellStyle name="Normal 47 2 4 5" xfId="9841"/>
    <cellStyle name="Normal 47 2 5" xfId="1354"/>
    <cellStyle name="Normal 47 2 5 2" xfId="3351"/>
    <cellStyle name="Normal 47 2 5 2 2" xfId="7866"/>
    <cellStyle name="Normal 47 2 5 2 2 2" xfId="16907"/>
    <cellStyle name="Normal 47 2 5 2 3" xfId="12394"/>
    <cellStyle name="Normal 47 2 5 3" xfId="5877"/>
    <cellStyle name="Normal 47 2 5 3 2" xfId="14918"/>
    <cellStyle name="Normal 47 2 5 4" xfId="10405"/>
    <cellStyle name="Normal 47 2 6" xfId="3340"/>
    <cellStyle name="Normal 47 2 6 2" xfId="7855"/>
    <cellStyle name="Normal 47 2 6 2 2" xfId="16896"/>
    <cellStyle name="Normal 47 2 6 3" xfId="12383"/>
    <cellStyle name="Normal 47 2 7" xfId="4749"/>
    <cellStyle name="Normal 47 2 7 2" xfId="13790"/>
    <cellStyle name="Normal 47 2 8" xfId="9277"/>
    <cellStyle name="Normal 47 3" xfId="278"/>
    <cellStyle name="Normal 47 3 2" xfId="842"/>
    <cellStyle name="Normal 47 3 2 2" xfId="2012"/>
    <cellStyle name="Normal 47 3 2 2 2" xfId="3354"/>
    <cellStyle name="Normal 47 3 2 2 2 2" xfId="7869"/>
    <cellStyle name="Normal 47 3 2 2 2 2 2" xfId="16910"/>
    <cellStyle name="Normal 47 3 2 2 2 3" xfId="12397"/>
    <cellStyle name="Normal 47 3 2 2 3" xfId="6535"/>
    <cellStyle name="Normal 47 3 2 2 3 2" xfId="15576"/>
    <cellStyle name="Normal 47 3 2 2 4" xfId="11063"/>
    <cellStyle name="Normal 47 3 2 3" xfId="3353"/>
    <cellStyle name="Normal 47 3 2 3 2" xfId="7868"/>
    <cellStyle name="Normal 47 3 2 3 2 2" xfId="16909"/>
    <cellStyle name="Normal 47 3 2 3 3" xfId="12396"/>
    <cellStyle name="Normal 47 3 2 4" xfId="5407"/>
    <cellStyle name="Normal 47 3 2 4 2" xfId="14448"/>
    <cellStyle name="Normal 47 3 2 5" xfId="9935"/>
    <cellStyle name="Normal 47 3 3" xfId="1448"/>
    <cellStyle name="Normal 47 3 3 2" xfId="3355"/>
    <cellStyle name="Normal 47 3 3 2 2" xfId="7870"/>
    <cellStyle name="Normal 47 3 3 2 2 2" xfId="16911"/>
    <cellStyle name="Normal 47 3 3 2 3" xfId="12398"/>
    <cellStyle name="Normal 47 3 3 3" xfId="5971"/>
    <cellStyle name="Normal 47 3 3 3 2" xfId="15012"/>
    <cellStyle name="Normal 47 3 3 4" xfId="10499"/>
    <cellStyle name="Normal 47 3 4" xfId="3352"/>
    <cellStyle name="Normal 47 3 4 2" xfId="7867"/>
    <cellStyle name="Normal 47 3 4 2 2" xfId="16908"/>
    <cellStyle name="Normal 47 3 4 3" xfId="12395"/>
    <cellStyle name="Normal 47 3 5" xfId="4843"/>
    <cellStyle name="Normal 47 3 5 2" xfId="13884"/>
    <cellStyle name="Normal 47 3 6" xfId="9371"/>
    <cellStyle name="Normal 47 4" xfId="466"/>
    <cellStyle name="Normal 47 4 2" xfId="1030"/>
    <cellStyle name="Normal 47 4 2 2" xfId="2200"/>
    <cellStyle name="Normal 47 4 2 2 2" xfId="3358"/>
    <cellStyle name="Normal 47 4 2 2 2 2" xfId="7873"/>
    <cellStyle name="Normal 47 4 2 2 2 2 2" xfId="16914"/>
    <cellStyle name="Normal 47 4 2 2 2 3" xfId="12401"/>
    <cellStyle name="Normal 47 4 2 2 3" xfId="6723"/>
    <cellStyle name="Normal 47 4 2 2 3 2" xfId="15764"/>
    <cellStyle name="Normal 47 4 2 2 4" xfId="11251"/>
    <cellStyle name="Normal 47 4 2 3" xfId="3357"/>
    <cellStyle name="Normal 47 4 2 3 2" xfId="7872"/>
    <cellStyle name="Normal 47 4 2 3 2 2" xfId="16913"/>
    <cellStyle name="Normal 47 4 2 3 3" xfId="12400"/>
    <cellStyle name="Normal 47 4 2 4" xfId="5595"/>
    <cellStyle name="Normal 47 4 2 4 2" xfId="14636"/>
    <cellStyle name="Normal 47 4 2 5" xfId="10123"/>
    <cellStyle name="Normal 47 4 3" xfId="1636"/>
    <cellStyle name="Normal 47 4 3 2" xfId="3359"/>
    <cellStyle name="Normal 47 4 3 2 2" xfId="7874"/>
    <cellStyle name="Normal 47 4 3 2 2 2" xfId="16915"/>
    <cellStyle name="Normal 47 4 3 2 3" xfId="12402"/>
    <cellStyle name="Normal 47 4 3 3" xfId="6159"/>
    <cellStyle name="Normal 47 4 3 3 2" xfId="15200"/>
    <cellStyle name="Normal 47 4 3 4" xfId="10687"/>
    <cellStyle name="Normal 47 4 4" xfId="3356"/>
    <cellStyle name="Normal 47 4 4 2" xfId="7871"/>
    <cellStyle name="Normal 47 4 4 2 2" xfId="16912"/>
    <cellStyle name="Normal 47 4 4 3" xfId="12399"/>
    <cellStyle name="Normal 47 4 5" xfId="5031"/>
    <cellStyle name="Normal 47 4 5 2" xfId="14072"/>
    <cellStyle name="Normal 47 4 6" xfId="9559"/>
    <cellStyle name="Normal 47 5" xfId="654"/>
    <cellStyle name="Normal 47 5 2" xfId="1824"/>
    <cellStyle name="Normal 47 5 2 2" xfId="3361"/>
    <cellStyle name="Normal 47 5 2 2 2" xfId="7876"/>
    <cellStyle name="Normal 47 5 2 2 2 2" xfId="16917"/>
    <cellStyle name="Normal 47 5 2 2 3" xfId="12404"/>
    <cellStyle name="Normal 47 5 2 3" xfId="6347"/>
    <cellStyle name="Normal 47 5 2 3 2" xfId="15388"/>
    <cellStyle name="Normal 47 5 2 4" xfId="10875"/>
    <cellStyle name="Normal 47 5 3" xfId="3360"/>
    <cellStyle name="Normal 47 5 3 2" xfId="7875"/>
    <cellStyle name="Normal 47 5 3 2 2" xfId="16916"/>
    <cellStyle name="Normal 47 5 3 3" xfId="12403"/>
    <cellStyle name="Normal 47 5 4" xfId="5219"/>
    <cellStyle name="Normal 47 5 4 2" xfId="14260"/>
    <cellStyle name="Normal 47 5 5" xfId="9747"/>
    <cellStyle name="Normal 47 6" xfId="1260"/>
    <cellStyle name="Normal 47 6 2" xfId="3362"/>
    <cellStyle name="Normal 47 6 2 2" xfId="7877"/>
    <cellStyle name="Normal 47 6 2 2 2" xfId="16918"/>
    <cellStyle name="Normal 47 6 2 3" xfId="12405"/>
    <cellStyle name="Normal 47 6 3" xfId="5783"/>
    <cellStyle name="Normal 47 6 3 2" xfId="14824"/>
    <cellStyle name="Normal 47 6 4" xfId="10311"/>
    <cellStyle name="Normal 47 7" xfId="3339"/>
    <cellStyle name="Normal 47 7 2" xfId="7854"/>
    <cellStyle name="Normal 47 7 2 2" xfId="16895"/>
    <cellStyle name="Normal 47 7 3" xfId="12382"/>
    <cellStyle name="Normal 47 8" xfId="4655"/>
    <cellStyle name="Normal 47 8 2" xfId="13696"/>
    <cellStyle name="Normal 47 9" xfId="9183"/>
    <cellStyle name="Normal 48" xfId="48"/>
    <cellStyle name="Normal 48 2" xfId="144"/>
    <cellStyle name="Normal 48 2 2" xfId="373"/>
    <cellStyle name="Normal 48 2 2 2" xfId="937"/>
    <cellStyle name="Normal 48 2 2 2 2" xfId="2107"/>
    <cellStyle name="Normal 48 2 2 2 2 2" xfId="3367"/>
    <cellStyle name="Normal 48 2 2 2 2 2 2" xfId="7882"/>
    <cellStyle name="Normal 48 2 2 2 2 2 2 2" xfId="16923"/>
    <cellStyle name="Normal 48 2 2 2 2 2 3" xfId="12410"/>
    <cellStyle name="Normal 48 2 2 2 2 3" xfId="6630"/>
    <cellStyle name="Normal 48 2 2 2 2 3 2" xfId="15671"/>
    <cellStyle name="Normal 48 2 2 2 2 4" xfId="11158"/>
    <cellStyle name="Normal 48 2 2 2 3" xfId="3366"/>
    <cellStyle name="Normal 48 2 2 2 3 2" xfId="7881"/>
    <cellStyle name="Normal 48 2 2 2 3 2 2" xfId="16922"/>
    <cellStyle name="Normal 48 2 2 2 3 3" xfId="12409"/>
    <cellStyle name="Normal 48 2 2 2 4" xfId="5502"/>
    <cellStyle name="Normal 48 2 2 2 4 2" xfId="14543"/>
    <cellStyle name="Normal 48 2 2 2 5" xfId="10030"/>
    <cellStyle name="Normal 48 2 2 3" xfId="1543"/>
    <cellStyle name="Normal 48 2 2 3 2" xfId="3368"/>
    <cellStyle name="Normal 48 2 2 3 2 2" xfId="7883"/>
    <cellStyle name="Normal 48 2 2 3 2 2 2" xfId="16924"/>
    <cellStyle name="Normal 48 2 2 3 2 3" xfId="12411"/>
    <cellStyle name="Normal 48 2 2 3 3" xfId="6066"/>
    <cellStyle name="Normal 48 2 2 3 3 2" xfId="15107"/>
    <cellStyle name="Normal 48 2 2 3 4" xfId="10594"/>
    <cellStyle name="Normal 48 2 2 4" xfId="3365"/>
    <cellStyle name="Normal 48 2 2 4 2" xfId="7880"/>
    <cellStyle name="Normal 48 2 2 4 2 2" xfId="16921"/>
    <cellStyle name="Normal 48 2 2 4 3" xfId="12408"/>
    <cellStyle name="Normal 48 2 2 5" xfId="4938"/>
    <cellStyle name="Normal 48 2 2 5 2" xfId="13979"/>
    <cellStyle name="Normal 48 2 2 6" xfId="9466"/>
    <cellStyle name="Normal 48 2 3" xfId="561"/>
    <cellStyle name="Normal 48 2 3 2" xfId="1125"/>
    <cellStyle name="Normal 48 2 3 2 2" xfId="2295"/>
    <cellStyle name="Normal 48 2 3 2 2 2" xfId="3371"/>
    <cellStyle name="Normal 48 2 3 2 2 2 2" xfId="7886"/>
    <cellStyle name="Normal 48 2 3 2 2 2 2 2" xfId="16927"/>
    <cellStyle name="Normal 48 2 3 2 2 2 3" xfId="12414"/>
    <cellStyle name="Normal 48 2 3 2 2 3" xfId="6818"/>
    <cellStyle name="Normal 48 2 3 2 2 3 2" xfId="15859"/>
    <cellStyle name="Normal 48 2 3 2 2 4" xfId="11346"/>
    <cellStyle name="Normal 48 2 3 2 3" xfId="3370"/>
    <cellStyle name="Normal 48 2 3 2 3 2" xfId="7885"/>
    <cellStyle name="Normal 48 2 3 2 3 2 2" xfId="16926"/>
    <cellStyle name="Normal 48 2 3 2 3 3" xfId="12413"/>
    <cellStyle name="Normal 48 2 3 2 4" xfId="5690"/>
    <cellStyle name="Normal 48 2 3 2 4 2" xfId="14731"/>
    <cellStyle name="Normal 48 2 3 2 5" xfId="10218"/>
    <cellStyle name="Normal 48 2 3 3" xfId="1731"/>
    <cellStyle name="Normal 48 2 3 3 2" xfId="3372"/>
    <cellStyle name="Normal 48 2 3 3 2 2" xfId="7887"/>
    <cellStyle name="Normal 48 2 3 3 2 2 2" xfId="16928"/>
    <cellStyle name="Normal 48 2 3 3 2 3" xfId="12415"/>
    <cellStyle name="Normal 48 2 3 3 3" xfId="6254"/>
    <cellStyle name="Normal 48 2 3 3 3 2" xfId="15295"/>
    <cellStyle name="Normal 48 2 3 3 4" xfId="10782"/>
    <cellStyle name="Normal 48 2 3 4" xfId="3369"/>
    <cellStyle name="Normal 48 2 3 4 2" xfId="7884"/>
    <cellStyle name="Normal 48 2 3 4 2 2" xfId="16925"/>
    <cellStyle name="Normal 48 2 3 4 3" xfId="12412"/>
    <cellStyle name="Normal 48 2 3 5" xfId="5126"/>
    <cellStyle name="Normal 48 2 3 5 2" xfId="14167"/>
    <cellStyle name="Normal 48 2 3 6" xfId="9654"/>
    <cellStyle name="Normal 48 2 4" xfId="749"/>
    <cellStyle name="Normal 48 2 4 2" xfId="1919"/>
    <cellStyle name="Normal 48 2 4 2 2" xfId="3374"/>
    <cellStyle name="Normal 48 2 4 2 2 2" xfId="7889"/>
    <cellStyle name="Normal 48 2 4 2 2 2 2" xfId="16930"/>
    <cellStyle name="Normal 48 2 4 2 2 3" xfId="12417"/>
    <cellStyle name="Normal 48 2 4 2 3" xfId="6442"/>
    <cellStyle name="Normal 48 2 4 2 3 2" xfId="15483"/>
    <cellStyle name="Normal 48 2 4 2 4" xfId="10970"/>
    <cellStyle name="Normal 48 2 4 3" xfId="3373"/>
    <cellStyle name="Normal 48 2 4 3 2" xfId="7888"/>
    <cellStyle name="Normal 48 2 4 3 2 2" xfId="16929"/>
    <cellStyle name="Normal 48 2 4 3 3" xfId="12416"/>
    <cellStyle name="Normal 48 2 4 4" xfId="5314"/>
    <cellStyle name="Normal 48 2 4 4 2" xfId="14355"/>
    <cellStyle name="Normal 48 2 4 5" xfId="9842"/>
    <cellStyle name="Normal 48 2 5" xfId="1355"/>
    <cellStyle name="Normal 48 2 5 2" xfId="3375"/>
    <cellStyle name="Normal 48 2 5 2 2" xfId="7890"/>
    <cellStyle name="Normal 48 2 5 2 2 2" xfId="16931"/>
    <cellStyle name="Normal 48 2 5 2 3" xfId="12418"/>
    <cellStyle name="Normal 48 2 5 3" xfId="5878"/>
    <cellStyle name="Normal 48 2 5 3 2" xfId="14919"/>
    <cellStyle name="Normal 48 2 5 4" xfId="10406"/>
    <cellStyle name="Normal 48 2 6" xfId="3364"/>
    <cellStyle name="Normal 48 2 6 2" xfId="7879"/>
    <cellStyle name="Normal 48 2 6 2 2" xfId="16920"/>
    <cellStyle name="Normal 48 2 6 3" xfId="12407"/>
    <cellStyle name="Normal 48 2 7" xfId="4750"/>
    <cellStyle name="Normal 48 2 7 2" xfId="13791"/>
    <cellStyle name="Normal 48 2 8" xfId="9278"/>
    <cellStyle name="Normal 48 3" xfId="279"/>
    <cellStyle name="Normal 48 3 2" xfId="843"/>
    <cellStyle name="Normal 48 3 2 2" xfId="2013"/>
    <cellStyle name="Normal 48 3 2 2 2" xfId="3378"/>
    <cellStyle name="Normal 48 3 2 2 2 2" xfId="7893"/>
    <cellStyle name="Normal 48 3 2 2 2 2 2" xfId="16934"/>
    <cellStyle name="Normal 48 3 2 2 2 3" xfId="12421"/>
    <cellStyle name="Normal 48 3 2 2 3" xfId="6536"/>
    <cellStyle name="Normal 48 3 2 2 3 2" xfId="15577"/>
    <cellStyle name="Normal 48 3 2 2 4" xfId="11064"/>
    <cellStyle name="Normal 48 3 2 3" xfId="3377"/>
    <cellStyle name="Normal 48 3 2 3 2" xfId="7892"/>
    <cellStyle name="Normal 48 3 2 3 2 2" xfId="16933"/>
    <cellStyle name="Normal 48 3 2 3 3" xfId="12420"/>
    <cellStyle name="Normal 48 3 2 4" xfId="5408"/>
    <cellStyle name="Normal 48 3 2 4 2" xfId="14449"/>
    <cellStyle name="Normal 48 3 2 5" xfId="9936"/>
    <cellStyle name="Normal 48 3 3" xfId="1449"/>
    <cellStyle name="Normal 48 3 3 2" xfId="3379"/>
    <cellStyle name="Normal 48 3 3 2 2" xfId="7894"/>
    <cellStyle name="Normal 48 3 3 2 2 2" xfId="16935"/>
    <cellStyle name="Normal 48 3 3 2 3" xfId="12422"/>
    <cellStyle name="Normal 48 3 3 3" xfId="5972"/>
    <cellStyle name="Normal 48 3 3 3 2" xfId="15013"/>
    <cellStyle name="Normal 48 3 3 4" xfId="10500"/>
    <cellStyle name="Normal 48 3 4" xfId="3376"/>
    <cellStyle name="Normal 48 3 4 2" xfId="7891"/>
    <cellStyle name="Normal 48 3 4 2 2" xfId="16932"/>
    <cellStyle name="Normal 48 3 4 3" xfId="12419"/>
    <cellStyle name="Normal 48 3 5" xfId="4844"/>
    <cellStyle name="Normal 48 3 5 2" xfId="13885"/>
    <cellStyle name="Normal 48 3 6" xfId="9372"/>
    <cellStyle name="Normal 48 4" xfId="467"/>
    <cellStyle name="Normal 48 4 2" xfId="1031"/>
    <cellStyle name="Normal 48 4 2 2" xfId="2201"/>
    <cellStyle name="Normal 48 4 2 2 2" xfId="3382"/>
    <cellStyle name="Normal 48 4 2 2 2 2" xfId="7897"/>
    <cellStyle name="Normal 48 4 2 2 2 2 2" xfId="16938"/>
    <cellStyle name="Normal 48 4 2 2 2 3" xfId="12425"/>
    <cellStyle name="Normal 48 4 2 2 3" xfId="6724"/>
    <cellStyle name="Normal 48 4 2 2 3 2" xfId="15765"/>
    <cellStyle name="Normal 48 4 2 2 4" xfId="11252"/>
    <cellStyle name="Normal 48 4 2 3" xfId="3381"/>
    <cellStyle name="Normal 48 4 2 3 2" xfId="7896"/>
    <cellStyle name="Normal 48 4 2 3 2 2" xfId="16937"/>
    <cellStyle name="Normal 48 4 2 3 3" xfId="12424"/>
    <cellStyle name="Normal 48 4 2 4" xfId="5596"/>
    <cellStyle name="Normal 48 4 2 4 2" xfId="14637"/>
    <cellStyle name="Normal 48 4 2 5" xfId="10124"/>
    <cellStyle name="Normal 48 4 3" xfId="1637"/>
    <cellStyle name="Normal 48 4 3 2" xfId="3383"/>
    <cellStyle name="Normal 48 4 3 2 2" xfId="7898"/>
    <cellStyle name="Normal 48 4 3 2 2 2" xfId="16939"/>
    <cellStyle name="Normal 48 4 3 2 3" xfId="12426"/>
    <cellStyle name="Normal 48 4 3 3" xfId="6160"/>
    <cellStyle name="Normal 48 4 3 3 2" xfId="15201"/>
    <cellStyle name="Normal 48 4 3 4" xfId="10688"/>
    <cellStyle name="Normal 48 4 4" xfId="3380"/>
    <cellStyle name="Normal 48 4 4 2" xfId="7895"/>
    <cellStyle name="Normal 48 4 4 2 2" xfId="16936"/>
    <cellStyle name="Normal 48 4 4 3" xfId="12423"/>
    <cellStyle name="Normal 48 4 5" xfId="5032"/>
    <cellStyle name="Normal 48 4 5 2" xfId="14073"/>
    <cellStyle name="Normal 48 4 6" xfId="9560"/>
    <cellStyle name="Normal 48 5" xfId="655"/>
    <cellStyle name="Normal 48 5 2" xfId="1825"/>
    <cellStyle name="Normal 48 5 2 2" xfId="3385"/>
    <cellStyle name="Normal 48 5 2 2 2" xfId="7900"/>
    <cellStyle name="Normal 48 5 2 2 2 2" xfId="16941"/>
    <cellStyle name="Normal 48 5 2 2 3" xfId="12428"/>
    <cellStyle name="Normal 48 5 2 3" xfId="6348"/>
    <cellStyle name="Normal 48 5 2 3 2" xfId="15389"/>
    <cellStyle name="Normal 48 5 2 4" xfId="10876"/>
    <cellStyle name="Normal 48 5 3" xfId="3384"/>
    <cellStyle name="Normal 48 5 3 2" xfId="7899"/>
    <cellStyle name="Normal 48 5 3 2 2" xfId="16940"/>
    <cellStyle name="Normal 48 5 3 3" xfId="12427"/>
    <cellStyle name="Normal 48 5 4" xfId="5220"/>
    <cellStyle name="Normal 48 5 4 2" xfId="14261"/>
    <cellStyle name="Normal 48 5 5" xfId="9748"/>
    <cellStyle name="Normal 48 6" xfId="1261"/>
    <cellStyle name="Normal 48 6 2" xfId="3386"/>
    <cellStyle name="Normal 48 6 2 2" xfId="7901"/>
    <cellStyle name="Normal 48 6 2 2 2" xfId="16942"/>
    <cellStyle name="Normal 48 6 2 3" xfId="12429"/>
    <cellStyle name="Normal 48 6 3" xfId="5784"/>
    <cellStyle name="Normal 48 6 3 2" xfId="14825"/>
    <cellStyle name="Normal 48 6 4" xfId="10312"/>
    <cellStyle name="Normal 48 7" xfId="3363"/>
    <cellStyle name="Normal 48 7 2" xfId="7878"/>
    <cellStyle name="Normal 48 7 2 2" xfId="16919"/>
    <cellStyle name="Normal 48 7 3" xfId="12406"/>
    <cellStyle name="Normal 48 8" xfId="4656"/>
    <cellStyle name="Normal 48 8 2" xfId="13697"/>
    <cellStyle name="Normal 48 9" xfId="9184"/>
    <cellStyle name="Normal 49" xfId="49"/>
    <cellStyle name="Normal 49 2" xfId="145"/>
    <cellStyle name="Normal 49 2 2" xfId="374"/>
    <cellStyle name="Normal 49 2 2 2" xfId="938"/>
    <cellStyle name="Normal 49 2 2 2 2" xfId="2108"/>
    <cellStyle name="Normal 49 2 2 2 2 2" xfId="3391"/>
    <cellStyle name="Normal 49 2 2 2 2 2 2" xfId="7906"/>
    <cellStyle name="Normal 49 2 2 2 2 2 2 2" xfId="16947"/>
    <cellStyle name="Normal 49 2 2 2 2 2 3" xfId="12434"/>
    <cellStyle name="Normal 49 2 2 2 2 3" xfId="6631"/>
    <cellStyle name="Normal 49 2 2 2 2 3 2" xfId="15672"/>
    <cellStyle name="Normal 49 2 2 2 2 4" xfId="11159"/>
    <cellStyle name="Normal 49 2 2 2 3" xfId="3390"/>
    <cellStyle name="Normal 49 2 2 2 3 2" xfId="7905"/>
    <cellStyle name="Normal 49 2 2 2 3 2 2" xfId="16946"/>
    <cellStyle name="Normal 49 2 2 2 3 3" xfId="12433"/>
    <cellStyle name="Normal 49 2 2 2 4" xfId="5503"/>
    <cellStyle name="Normal 49 2 2 2 4 2" xfId="14544"/>
    <cellStyle name="Normal 49 2 2 2 5" xfId="10031"/>
    <cellStyle name="Normal 49 2 2 3" xfId="1544"/>
    <cellStyle name="Normal 49 2 2 3 2" xfId="3392"/>
    <cellStyle name="Normal 49 2 2 3 2 2" xfId="7907"/>
    <cellStyle name="Normal 49 2 2 3 2 2 2" xfId="16948"/>
    <cellStyle name="Normal 49 2 2 3 2 3" xfId="12435"/>
    <cellStyle name="Normal 49 2 2 3 3" xfId="6067"/>
    <cellStyle name="Normal 49 2 2 3 3 2" xfId="15108"/>
    <cellStyle name="Normal 49 2 2 3 4" xfId="10595"/>
    <cellStyle name="Normal 49 2 2 4" xfId="3389"/>
    <cellStyle name="Normal 49 2 2 4 2" xfId="7904"/>
    <cellStyle name="Normal 49 2 2 4 2 2" xfId="16945"/>
    <cellStyle name="Normal 49 2 2 4 3" xfId="12432"/>
    <cellStyle name="Normal 49 2 2 5" xfId="4939"/>
    <cellStyle name="Normal 49 2 2 5 2" xfId="13980"/>
    <cellStyle name="Normal 49 2 2 6" xfId="9467"/>
    <cellStyle name="Normal 49 2 3" xfId="562"/>
    <cellStyle name="Normal 49 2 3 2" xfId="1126"/>
    <cellStyle name="Normal 49 2 3 2 2" xfId="2296"/>
    <cellStyle name="Normal 49 2 3 2 2 2" xfId="3395"/>
    <cellStyle name="Normal 49 2 3 2 2 2 2" xfId="7910"/>
    <cellStyle name="Normal 49 2 3 2 2 2 2 2" xfId="16951"/>
    <cellStyle name="Normal 49 2 3 2 2 2 3" xfId="12438"/>
    <cellStyle name="Normal 49 2 3 2 2 3" xfId="6819"/>
    <cellStyle name="Normal 49 2 3 2 2 3 2" xfId="15860"/>
    <cellStyle name="Normal 49 2 3 2 2 4" xfId="11347"/>
    <cellStyle name="Normal 49 2 3 2 3" xfId="3394"/>
    <cellStyle name="Normal 49 2 3 2 3 2" xfId="7909"/>
    <cellStyle name="Normal 49 2 3 2 3 2 2" xfId="16950"/>
    <cellStyle name="Normal 49 2 3 2 3 3" xfId="12437"/>
    <cellStyle name="Normal 49 2 3 2 4" xfId="5691"/>
    <cellStyle name="Normal 49 2 3 2 4 2" xfId="14732"/>
    <cellStyle name="Normal 49 2 3 2 5" xfId="10219"/>
    <cellStyle name="Normal 49 2 3 3" xfId="1732"/>
    <cellStyle name="Normal 49 2 3 3 2" xfId="3396"/>
    <cellStyle name="Normal 49 2 3 3 2 2" xfId="7911"/>
    <cellStyle name="Normal 49 2 3 3 2 2 2" xfId="16952"/>
    <cellStyle name="Normal 49 2 3 3 2 3" xfId="12439"/>
    <cellStyle name="Normal 49 2 3 3 3" xfId="6255"/>
    <cellStyle name="Normal 49 2 3 3 3 2" xfId="15296"/>
    <cellStyle name="Normal 49 2 3 3 4" xfId="10783"/>
    <cellStyle name="Normal 49 2 3 4" xfId="3393"/>
    <cellStyle name="Normal 49 2 3 4 2" xfId="7908"/>
    <cellStyle name="Normal 49 2 3 4 2 2" xfId="16949"/>
    <cellStyle name="Normal 49 2 3 4 3" xfId="12436"/>
    <cellStyle name="Normal 49 2 3 5" xfId="5127"/>
    <cellStyle name="Normal 49 2 3 5 2" xfId="14168"/>
    <cellStyle name="Normal 49 2 3 6" xfId="9655"/>
    <cellStyle name="Normal 49 2 4" xfId="750"/>
    <cellStyle name="Normal 49 2 4 2" xfId="1920"/>
    <cellStyle name="Normal 49 2 4 2 2" xfId="3398"/>
    <cellStyle name="Normal 49 2 4 2 2 2" xfId="7913"/>
    <cellStyle name="Normal 49 2 4 2 2 2 2" xfId="16954"/>
    <cellStyle name="Normal 49 2 4 2 2 3" xfId="12441"/>
    <cellStyle name="Normal 49 2 4 2 3" xfId="6443"/>
    <cellStyle name="Normal 49 2 4 2 3 2" xfId="15484"/>
    <cellStyle name="Normal 49 2 4 2 4" xfId="10971"/>
    <cellStyle name="Normal 49 2 4 3" xfId="3397"/>
    <cellStyle name="Normal 49 2 4 3 2" xfId="7912"/>
    <cellStyle name="Normal 49 2 4 3 2 2" xfId="16953"/>
    <cellStyle name="Normal 49 2 4 3 3" xfId="12440"/>
    <cellStyle name="Normal 49 2 4 4" xfId="5315"/>
    <cellStyle name="Normal 49 2 4 4 2" xfId="14356"/>
    <cellStyle name="Normal 49 2 4 5" xfId="9843"/>
    <cellStyle name="Normal 49 2 5" xfId="1356"/>
    <cellStyle name="Normal 49 2 5 2" xfId="3399"/>
    <cellStyle name="Normal 49 2 5 2 2" xfId="7914"/>
    <cellStyle name="Normal 49 2 5 2 2 2" xfId="16955"/>
    <cellStyle name="Normal 49 2 5 2 3" xfId="12442"/>
    <cellStyle name="Normal 49 2 5 3" xfId="5879"/>
    <cellStyle name="Normal 49 2 5 3 2" xfId="14920"/>
    <cellStyle name="Normal 49 2 5 4" xfId="10407"/>
    <cellStyle name="Normal 49 2 6" xfId="3388"/>
    <cellStyle name="Normal 49 2 6 2" xfId="7903"/>
    <cellStyle name="Normal 49 2 6 2 2" xfId="16944"/>
    <cellStyle name="Normal 49 2 6 3" xfId="12431"/>
    <cellStyle name="Normal 49 2 7" xfId="4751"/>
    <cellStyle name="Normal 49 2 7 2" xfId="13792"/>
    <cellStyle name="Normal 49 2 8" xfId="9279"/>
    <cellStyle name="Normal 49 3" xfId="280"/>
    <cellStyle name="Normal 49 3 2" xfId="844"/>
    <cellStyle name="Normal 49 3 2 2" xfId="2014"/>
    <cellStyle name="Normal 49 3 2 2 2" xfId="3402"/>
    <cellStyle name="Normal 49 3 2 2 2 2" xfId="7917"/>
    <cellStyle name="Normal 49 3 2 2 2 2 2" xfId="16958"/>
    <cellStyle name="Normal 49 3 2 2 2 3" xfId="12445"/>
    <cellStyle name="Normal 49 3 2 2 3" xfId="6537"/>
    <cellStyle name="Normal 49 3 2 2 3 2" xfId="15578"/>
    <cellStyle name="Normal 49 3 2 2 4" xfId="11065"/>
    <cellStyle name="Normal 49 3 2 3" xfId="3401"/>
    <cellStyle name="Normal 49 3 2 3 2" xfId="7916"/>
    <cellStyle name="Normal 49 3 2 3 2 2" xfId="16957"/>
    <cellStyle name="Normal 49 3 2 3 3" xfId="12444"/>
    <cellStyle name="Normal 49 3 2 4" xfId="5409"/>
    <cellStyle name="Normal 49 3 2 4 2" xfId="14450"/>
    <cellStyle name="Normal 49 3 2 5" xfId="9937"/>
    <cellStyle name="Normal 49 3 3" xfId="1450"/>
    <cellStyle name="Normal 49 3 3 2" xfId="3403"/>
    <cellStyle name="Normal 49 3 3 2 2" xfId="7918"/>
    <cellStyle name="Normal 49 3 3 2 2 2" xfId="16959"/>
    <cellStyle name="Normal 49 3 3 2 3" xfId="12446"/>
    <cellStyle name="Normal 49 3 3 3" xfId="5973"/>
    <cellStyle name="Normal 49 3 3 3 2" xfId="15014"/>
    <cellStyle name="Normal 49 3 3 4" xfId="10501"/>
    <cellStyle name="Normal 49 3 4" xfId="3400"/>
    <cellStyle name="Normal 49 3 4 2" xfId="7915"/>
    <cellStyle name="Normal 49 3 4 2 2" xfId="16956"/>
    <cellStyle name="Normal 49 3 4 3" xfId="12443"/>
    <cellStyle name="Normal 49 3 5" xfId="4845"/>
    <cellStyle name="Normal 49 3 5 2" xfId="13886"/>
    <cellStyle name="Normal 49 3 6" xfId="9373"/>
    <cellStyle name="Normal 49 4" xfId="468"/>
    <cellStyle name="Normal 49 4 2" xfId="1032"/>
    <cellStyle name="Normal 49 4 2 2" xfId="2202"/>
    <cellStyle name="Normal 49 4 2 2 2" xfId="3406"/>
    <cellStyle name="Normal 49 4 2 2 2 2" xfId="7921"/>
    <cellStyle name="Normal 49 4 2 2 2 2 2" xfId="16962"/>
    <cellStyle name="Normal 49 4 2 2 2 3" xfId="12449"/>
    <cellStyle name="Normal 49 4 2 2 3" xfId="6725"/>
    <cellStyle name="Normal 49 4 2 2 3 2" xfId="15766"/>
    <cellStyle name="Normal 49 4 2 2 4" xfId="11253"/>
    <cellStyle name="Normal 49 4 2 3" xfId="3405"/>
    <cellStyle name="Normal 49 4 2 3 2" xfId="7920"/>
    <cellStyle name="Normal 49 4 2 3 2 2" xfId="16961"/>
    <cellStyle name="Normal 49 4 2 3 3" xfId="12448"/>
    <cellStyle name="Normal 49 4 2 4" xfId="5597"/>
    <cellStyle name="Normal 49 4 2 4 2" xfId="14638"/>
    <cellStyle name="Normal 49 4 2 5" xfId="10125"/>
    <cellStyle name="Normal 49 4 3" xfId="1638"/>
    <cellStyle name="Normal 49 4 3 2" xfId="3407"/>
    <cellStyle name="Normal 49 4 3 2 2" xfId="7922"/>
    <cellStyle name="Normal 49 4 3 2 2 2" xfId="16963"/>
    <cellStyle name="Normal 49 4 3 2 3" xfId="12450"/>
    <cellStyle name="Normal 49 4 3 3" xfId="6161"/>
    <cellStyle name="Normal 49 4 3 3 2" xfId="15202"/>
    <cellStyle name="Normal 49 4 3 4" xfId="10689"/>
    <cellStyle name="Normal 49 4 4" xfId="3404"/>
    <cellStyle name="Normal 49 4 4 2" xfId="7919"/>
    <cellStyle name="Normal 49 4 4 2 2" xfId="16960"/>
    <cellStyle name="Normal 49 4 4 3" xfId="12447"/>
    <cellStyle name="Normal 49 4 5" xfId="5033"/>
    <cellStyle name="Normal 49 4 5 2" xfId="14074"/>
    <cellStyle name="Normal 49 4 6" xfId="9561"/>
    <cellStyle name="Normal 49 5" xfId="656"/>
    <cellStyle name="Normal 49 5 2" xfId="1826"/>
    <cellStyle name="Normal 49 5 2 2" xfId="3409"/>
    <cellStyle name="Normal 49 5 2 2 2" xfId="7924"/>
    <cellStyle name="Normal 49 5 2 2 2 2" xfId="16965"/>
    <cellStyle name="Normal 49 5 2 2 3" xfId="12452"/>
    <cellStyle name="Normal 49 5 2 3" xfId="6349"/>
    <cellStyle name="Normal 49 5 2 3 2" xfId="15390"/>
    <cellStyle name="Normal 49 5 2 4" xfId="10877"/>
    <cellStyle name="Normal 49 5 3" xfId="3408"/>
    <cellStyle name="Normal 49 5 3 2" xfId="7923"/>
    <cellStyle name="Normal 49 5 3 2 2" xfId="16964"/>
    <cellStyle name="Normal 49 5 3 3" xfId="12451"/>
    <cellStyle name="Normal 49 5 4" xfId="5221"/>
    <cellStyle name="Normal 49 5 4 2" xfId="14262"/>
    <cellStyle name="Normal 49 5 5" xfId="9749"/>
    <cellStyle name="Normal 49 6" xfId="1262"/>
    <cellStyle name="Normal 49 6 2" xfId="3410"/>
    <cellStyle name="Normal 49 6 2 2" xfId="7925"/>
    <cellStyle name="Normal 49 6 2 2 2" xfId="16966"/>
    <cellStyle name="Normal 49 6 2 3" xfId="12453"/>
    <cellStyle name="Normal 49 6 3" xfId="5785"/>
    <cellStyle name="Normal 49 6 3 2" xfId="14826"/>
    <cellStyle name="Normal 49 6 4" xfId="10313"/>
    <cellStyle name="Normal 49 7" xfId="3387"/>
    <cellStyle name="Normal 49 7 2" xfId="7902"/>
    <cellStyle name="Normal 49 7 2 2" xfId="16943"/>
    <cellStyle name="Normal 49 7 3" xfId="12430"/>
    <cellStyle name="Normal 49 8" xfId="4657"/>
    <cellStyle name="Normal 49 8 2" xfId="13698"/>
    <cellStyle name="Normal 49 9" xfId="9185"/>
    <cellStyle name="Normal 5" xfId="1218"/>
    <cellStyle name="Normal 5 2" xfId="3"/>
    <cellStyle name="Normal 5 3" xfId="9139"/>
    <cellStyle name="Normal 50" xfId="50"/>
    <cellStyle name="Normal 50 2" xfId="146"/>
    <cellStyle name="Normal 50 2 2" xfId="375"/>
    <cellStyle name="Normal 50 2 2 2" xfId="939"/>
    <cellStyle name="Normal 50 2 2 2 2" xfId="2109"/>
    <cellStyle name="Normal 50 2 2 2 2 2" xfId="3415"/>
    <cellStyle name="Normal 50 2 2 2 2 2 2" xfId="7930"/>
    <cellStyle name="Normal 50 2 2 2 2 2 2 2" xfId="16971"/>
    <cellStyle name="Normal 50 2 2 2 2 2 3" xfId="12458"/>
    <cellStyle name="Normal 50 2 2 2 2 3" xfId="6632"/>
    <cellStyle name="Normal 50 2 2 2 2 3 2" xfId="15673"/>
    <cellStyle name="Normal 50 2 2 2 2 4" xfId="11160"/>
    <cellStyle name="Normal 50 2 2 2 3" xfId="3414"/>
    <cellStyle name="Normal 50 2 2 2 3 2" xfId="7929"/>
    <cellStyle name="Normal 50 2 2 2 3 2 2" xfId="16970"/>
    <cellStyle name="Normal 50 2 2 2 3 3" xfId="12457"/>
    <cellStyle name="Normal 50 2 2 2 4" xfId="5504"/>
    <cellStyle name="Normal 50 2 2 2 4 2" xfId="14545"/>
    <cellStyle name="Normal 50 2 2 2 5" xfId="10032"/>
    <cellStyle name="Normal 50 2 2 3" xfId="1545"/>
    <cellStyle name="Normal 50 2 2 3 2" xfId="3416"/>
    <cellStyle name="Normal 50 2 2 3 2 2" xfId="7931"/>
    <cellStyle name="Normal 50 2 2 3 2 2 2" xfId="16972"/>
    <cellStyle name="Normal 50 2 2 3 2 3" xfId="12459"/>
    <cellStyle name="Normal 50 2 2 3 3" xfId="6068"/>
    <cellStyle name="Normal 50 2 2 3 3 2" xfId="15109"/>
    <cellStyle name="Normal 50 2 2 3 4" xfId="10596"/>
    <cellStyle name="Normal 50 2 2 4" xfId="3413"/>
    <cellStyle name="Normal 50 2 2 4 2" xfId="7928"/>
    <cellStyle name="Normal 50 2 2 4 2 2" xfId="16969"/>
    <cellStyle name="Normal 50 2 2 4 3" xfId="12456"/>
    <cellStyle name="Normal 50 2 2 5" xfId="4940"/>
    <cellStyle name="Normal 50 2 2 5 2" xfId="13981"/>
    <cellStyle name="Normal 50 2 2 6" xfId="9468"/>
    <cellStyle name="Normal 50 2 3" xfId="563"/>
    <cellStyle name="Normal 50 2 3 2" xfId="1127"/>
    <cellStyle name="Normal 50 2 3 2 2" xfId="2297"/>
    <cellStyle name="Normal 50 2 3 2 2 2" xfId="3419"/>
    <cellStyle name="Normal 50 2 3 2 2 2 2" xfId="7934"/>
    <cellStyle name="Normal 50 2 3 2 2 2 2 2" xfId="16975"/>
    <cellStyle name="Normal 50 2 3 2 2 2 3" xfId="12462"/>
    <cellStyle name="Normal 50 2 3 2 2 3" xfId="6820"/>
    <cellStyle name="Normal 50 2 3 2 2 3 2" xfId="15861"/>
    <cellStyle name="Normal 50 2 3 2 2 4" xfId="11348"/>
    <cellStyle name="Normal 50 2 3 2 3" xfId="3418"/>
    <cellStyle name="Normal 50 2 3 2 3 2" xfId="7933"/>
    <cellStyle name="Normal 50 2 3 2 3 2 2" xfId="16974"/>
    <cellStyle name="Normal 50 2 3 2 3 3" xfId="12461"/>
    <cellStyle name="Normal 50 2 3 2 4" xfId="5692"/>
    <cellStyle name="Normal 50 2 3 2 4 2" xfId="14733"/>
    <cellStyle name="Normal 50 2 3 2 5" xfId="10220"/>
    <cellStyle name="Normal 50 2 3 3" xfId="1733"/>
    <cellStyle name="Normal 50 2 3 3 2" xfId="3420"/>
    <cellStyle name="Normal 50 2 3 3 2 2" xfId="7935"/>
    <cellStyle name="Normal 50 2 3 3 2 2 2" xfId="16976"/>
    <cellStyle name="Normal 50 2 3 3 2 3" xfId="12463"/>
    <cellStyle name="Normal 50 2 3 3 3" xfId="6256"/>
    <cellStyle name="Normal 50 2 3 3 3 2" xfId="15297"/>
    <cellStyle name="Normal 50 2 3 3 4" xfId="10784"/>
    <cellStyle name="Normal 50 2 3 4" xfId="3417"/>
    <cellStyle name="Normal 50 2 3 4 2" xfId="7932"/>
    <cellStyle name="Normal 50 2 3 4 2 2" xfId="16973"/>
    <cellStyle name="Normal 50 2 3 4 3" xfId="12460"/>
    <cellStyle name="Normal 50 2 3 5" xfId="5128"/>
    <cellStyle name="Normal 50 2 3 5 2" xfId="14169"/>
    <cellStyle name="Normal 50 2 3 6" xfId="9656"/>
    <cellStyle name="Normal 50 2 4" xfId="751"/>
    <cellStyle name="Normal 50 2 4 2" xfId="1921"/>
    <cellStyle name="Normal 50 2 4 2 2" xfId="3422"/>
    <cellStyle name="Normal 50 2 4 2 2 2" xfId="7937"/>
    <cellStyle name="Normal 50 2 4 2 2 2 2" xfId="16978"/>
    <cellStyle name="Normal 50 2 4 2 2 3" xfId="12465"/>
    <cellStyle name="Normal 50 2 4 2 3" xfId="6444"/>
    <cellStyle name="Normal 50 2 4 2 3 2" xfId="15485"/>
    <cellStyle name="Normal 50 2 4 2 4" xfId="10972"/>
    <cellStyle name="Normal 50 2 4 3" xfId="3421"/>
    <cellStyle name="Normal 50 2 4 3 2" xfId="7936"/>
    <cellStyle name="Normal 50 2 4 3 2 2" xfId="16977"/>
    <cellStyle name="Normal 50 2 4 3 3" xfId="12464"/>
    <cellStyle name="Normal 50 2 4 4" xfId="5316"/>
    <cellStyle name="Normal 50 2 4 4 2" xfId="14357"/>
    <cellStyle name="Normal 50 2 4 5" xfId="9844"/>
    <cellStyle name="Normal 50 2 5" xfId="1357"/>
    <cellStyle name="Normal 50 2 5 2" xfId="3423"/>
    <cellStyle name="Normal 50 2 5 2 2" xfId="7938"/>
    <cellStyle name="Normal 50 2 5 2 2 2" xfId="16979"/>
    <cellStyle name="Normal 50 2 5 2 3" xfId="12466"/>
    <cellStyle name="Normal 50 2 5 3" xfId="5880"/>
    <cellStyle name="Normal 50 2 5 3 2" xfId="14921"/>
    <cellStyle name="Normal 50 2 5 4" xfId="10408"/>
    <cellStyle name="Normal 50 2 6" xfId="3412"/>
    <cellStyle name="Normal 50 2 6 2" xfId="7927"/>
    <cellStyle name="Normal 50 2 6 2 2" xfId="16968"/>
    <cellStyle name="Normal 50 2 6 3" xfId="12455"/>
    <cellStyle name="Normal 50 2 7" xfId="4752"/>
    <cellStyle name="Normal 50 2 7 2" xfId="13793"/>
    <cellStyle name="Normal 50 2 8" xfId="9280"/>
    <cellStyle name="Normal 50 3" xfId="281"/>
    <cellStyle name="Normal 50 3 2" xfId="845"/>
    <cellStyle name="Normal 50 3 2 2" xfId="2015"/>
    <cellStyle name="Normal 50 3 2 2 2" xfId="3426"/>
    <cellStyle name="Normal 50 3 2 2 2 2" xfId="7941"/>
    <cellStyle name="Normal 50 3 2 2 2 2 2" xfId="16982"/>
    <cellStyle name="Normal 50 3 2 2 2 3" xfId="12469"/>
    <cellStyle name="Normal 50 3 2 2 3" xfId="6538"/>
    <cellStyle name="Normal 50 3 2 2 3 2" xfId="15579"/>
    <cellStyle name="Normal 50 3 2 2 4" xfId="11066"/>
    <cellStyle name="Normal 50 3 2 3" xfId="3425"/>
    <cellStyle name="Normal 50 3 2 3 2" xfId="7940"/>
    <cellStyle name="Normal 50 3 2 3 2 2" xfId="16981"/>
    <cellStyle name="Normal 50 3 2 3 3" xfId="12468"/>
    <cellStyle name="Normal 50 3 2 4" xfId="5410"/>
    <cellStyle name="Normal 50 3 2 4 2" xfId="14451"/>
    <cellStyle name="Normal 50 3 2 5" xfId="9938"/>
    <cellStyle name="Normal 50 3 3" xfId="1451"/>
    <cellStyle name="Normal 50 3 3 2" xfId="3427"/>
    <cellStyle name="Normal 50 3 3 2 2" xfId="7942"/>
    <cellStyle name="Normal 50 3 3 2 2 2" xfId="16983"/>
    <cellStyle name="Normal 50 3 3 2 3" xfId="12470"/>
    <cellStyle name="Normal 50 3 3 3" xfId="5974"/>
    <cellStyle name="Normal 50 3 3 3 2" xfId="15015"/>
    <cellStyle name="Normal 50 3 3 4" xfId="10502"/>
    <cellStyle name="Normal 50 3 4" xfId="3424"/>
    <cellStyle name="Normal 50 3 4 2" xfId="7939"/>
    <cellStyle name="Normal 50 3 4 2 2" xfId="16980"/>
    <cellStyle name="Normal 50 3 4 3" xfId="12467"/>
    <cellStyle name="Normal 50 3 5" xfId="4846"/>
    <cellStyle name="Normal 50 3 5 2" xfId="13887"/>
    <cellStyle name="Normal 50 3 6" xfId="9374"/>
    <cellStyle name="Normal 50 4" xfId="469"/>
    <cellStyle name="Normal 50 4 2" xfId="1033"/>
    <cellStyle name="Normal 50 4 2 2" xfId="2203"/>
    <cellStyle name="Normal 50 4 2 2 2" xfId="3430"/>
    <cellStyle name="Normal 50 4 2 2 2 2" xfId="7945"/>
    <cellStyle name="Normal 50 4 2 2 2 2 2" xfId="16986"/>
    <cellStyle name="Normal 50 4 2 2 2 3" xfId="12473"/>
    <cellStyle name="Normal 50 4 2 2 3" xfId="6726"/>
    <cellStyle name="Normal 50 4 2 2 3 2" xfId="15767"/>
    <cellStyle name="Normal 50 4 2 2 4" xfId="11254"/>
    <cellStyle name="Normal 50 4 2 3" xfId="3429"/>
    <cellStyle name="Normal 50 4 2 3 2" xfId="7944"/>
    <cellStyle name="Normal 50 4 2 3 2 2" xfId="16985"/>
    <cellStyle name="Normal 50 4 2 3 3" xfId="12472"/>
    <cellStyle name="Normal 50 4 2 4" xfId="5598"/>
    <cellStyle name="Normal 50 4 2 4 2" xfId="14639"/>
    <cellStyle name="Normal 50 4 2 5" xfId="10126"/>
    <cellStyle name="Normal 50 4 3" xfId="1639"/>
    <cellStyle name="Normal 50 4 3 2" xfId="3431"/>
    <cellStyle name="Normal 50 4 3 2 2" xfId="7946"/>
    <cellStyle name="Normal 50 4 3 2 2 2" xfId="16987"/>
    <cellStyle name="Normal 50 4 3 2 3" xfId="12474"/>
    <cellStyle name="Normal 50 4 3 3" xfId="6162"/>
    <cellStyle name="Normal 50 4 3 3 2" xfId="15203"/>
    <cellStyle name="Normal 50 4 3 4" xfId="10690"/>
    <cellStyle name="Normal 50 4 4" xfId="3428"/>
    <cellStyle name="Normal 50 4 4 2" xfId="7943"/>
    <cellStyle name="Normal 50 4 4 2 2" xfId="16984"/>
    <cellStyle name="Normal 50 4 4 3" xfId="12471"/>
    <cellStyle name="Normal 50 4 5" xfId="5034"/>
    <cellStyle name="Normal 50 4 5 2" xfId="14075"/>
    <cellStyle name="Normal 50 4 6" xfId="9562"/>
    <cellStyle name="Normal 50 5" xfId="657"/>
    <cellStyle name="Normal 50 5 2" xfId="1827"/>
    <cellStyle name="Normal 50 5 2 2" xfId="3433"/>
    <cellStyle name="Normal 50 5 2 2 2" xfId="7948"/>
    <cellStyle name="Normal 50 5 2 2 2 2" xfId="16989"/>
    <cellStyle name="Normal 50 5 2 2 3" xfId="12476"/>
    <cellStyle name="Normal 50 5 2 3" xfId="6350"/>
    <cellStyle name="Normal 50 5 2 3 2" xfId="15391"/>
    <cellStyle name="Normal 50 5 2 4" xfId="10878"/>
    <cellStyle name="Normal 50 5 3" xfId="3432"/>
    <cellStyle name="Normal 50 5 3 2" xfId="7947"/>
    <cellStyle name="Normal 50 5 3 2 2" xfId="16988"/>
    <cellStyle name="Normal 50 5 3 3" xfId="12475"/>
    <cellStyle name="Normal 50 5 4" xfId="5222"/>
    <cellStyle name="Normal 50 5 4 2" xfId="14263"/>
    <cellStyle name="Normal 50 5 5" xfId="9750"/>
    <cellStyle name="Normal 50 6" xfId="1263"/>
    <cellStyle name="Normal 50 6 2" xfId="3434"/>
    <cellStyle name="Normal 50 6 2 2" xfId="7949"/>
    <cellStyle name="Normal 50 6 2 2 2" xfId="16990"/>
    <cellStyle name="Normal 50 6 2 3" xfId="12477"/>
    <cellStyle name="Normal 50 6 3" xfId="5786"/>
    <cellStyle name="Normal 50 6 3 2" xfId="14827"/>
    <cellStyle name="Normal 50 6 4" xfId="10314"/>
    <cellStyle name="Normal 50 7" xfId="3411"/>
    <cellStyle name="Normal 50 7 2" xfId="7926"/>
    <cellStyle name="Normal 50 7 2 2" xfId="16967"/>
    <cellStyle name="Normal 50 7 3" xfId="12454"/>
    <cellStyle name="Normal 50 8" xfId="4658"/>
    <cellStyle name="Normal 50 8 2" xfId="13699"/>
    <cellStyle name="Normal 50 9" xfId="9186"/>
    <cellStyle name="Normal 51" xfId="51"/>
    <cellStyle name="Normal 51 2" xfId="147"/>
    <cellStyle name="Normal 51 2 2" xfId="376"/>
    <cellStyle name="Normal 51 2 2 2" xfId="940"/>
    <cellStyle name="Normal 51 2 2 2 2" xfId="2110"/>
    <cellStyle name="Normal 51 2 2 2 2 2" xfId="3439"/>
    <cellStyle name="Normal 51 2 2 2 2 2 2" xfId="7954"/>
    <cellStyle name="Normal 51 2 2 2 2 2 2 2" xfId="16995"/>
    <cellStyle name="Normal 51 2 2 2 2 2 3" xfId="12482"/>
    <cellStyle name="Normal 51 2 2 2 2 3" xfId="6633"/>
    <cellStyle name="Normal 51 2 2 2 2 3 2" xfId="15674"/>
    <cellStyle name="Normal 51 2 2 2 2 4" xfId="11161"/>
    <cellStyle name="Normal 51 2 2 2 3" xfId="3438"/>
    <cellStyle name="Normal 51 2 2 2 3 2" xfId="7953"/>
    <cellStyle name="Normal 51 2 2 2 3 2 2" xfId="16994"/>
    <cellStyle name="Normal 51 2 2 2 3 3" xfId="12481"/>
    <cellStyle name="Normal 51 2 2 2 4" xfId="5505"/>
    <cellStyle name="Normal 51 2 2 2 4 2" xfId="14546"/>
    <cellStyle name="Normal 51 2 2 2 5" xfId="10033"/>
    <cellStyle name="Normal 51 2 2 3" xfId="1546"/>
    <cellStyle name="Normal 51 2 2 3 2" xfId="3440"/>
    <cellStyle name="Normal 51 2 2 3 2 2" xfId="7955"/>
    <cellStyle name="Normal 51 2 2 3 2 2 2" xfId="16996"/>
    <cellStyle name="Normal 51 2 2 3 2 3" xfId="12483"/>
    <cellStyle name="Normal 51 2 2 3 3" xfId="6069"/>
    <cellStyle name="Normal 51 2 2 3 3 2" xfId="15110"/>
    <cellStyle name="Normal 51 2 2 3 4" xfId="10597"/>
    <cellStyle name="Normal 51 2 2 4" xfId="3437"/>
    <cellStyle name="Normal 51 2 2 4 2" xfId="7952"/>
    <cellStyle name="Normal 51 2 2 4 2 2" xfId="16993"/>
    <cellStyle name="Normal 51 2 2 4 3" xfId="12480"/>
    <cellStyle name="Normal 51 2 2 5" xfId="4941"/>
    <cellStyle name="Normal 51 2 2 5 2" xfId="13982"/>
    <cellStyle name="Normal 51 2 2 6" xfId="9469"/>
    <cellStyle name="Normal 51 2 3" xfId="564"/>
    <cellStyle name="Normal 51 2 3 2" xfId="1128"/>
    <cellStyle name="Normal 51 2 3 2 2" xfId="2298"/>
    <cellStyle name="Normal 51 2 3 2 2 2" xfId="3443"/>
    <cellStyle name="Normal 51 2 3 2 2 2 2" xfId="7958"/>
    <cellStyle name="Normal 51 2 3 2 2 2 2 2" xfId="16999"/>
    <cellStyle name="Normal 51 2 3 2 2 2 3" xfId="12486"/>
    <cellStyle name="Normal 51 2 3 2 2 3" xfId="6821"/>
    <cellStyle name="Normal 51 2 3 2 2 3 2" xfId="15862"/>
    <cellStyle name="Normal 51 2 3 2 2 4" xfId="11349"/>
    <cellStyle name="Normal 51 2 3 2 3" xfId="3442"/>
    <cellStyle name="Normal 51 2 3 2 3 2" xfId="7957"/>
    <cellStyle name="Normal 51 2 3 2 3 2 2" xfId="16998"/>
    <cellStyle name="Normal 51 2 3 2 3 3" xfId="12485"/>
    <cellStyle name="Normal 51 2 3 2 4" xfId="5693"/>
    <cellStyle name="Normal 51 2 3 2 4 2" xfId="14734"/>
    <cellStyle name="Normal 51 2 3 2 5" xfId="10221"/>
    <cellStyle name="Normal 51 2 3 3" xfId="1734"/>
    <cellStyle name="Normal 51 2 3 3 2" xfId="3444"/>
    <cellStyle name="Normal 51 2 3 3 2 2" xfId="7959"/>
    <cellStyle name="Normal 51 2 3 3 2 2 2" xfId="17000"/>
    <cellStyle name="Normal 51 2 3 3 2 3" xfId="12487"/>
    <cellStyle name="Normal 51 2 3 3 3" xfId="6257"/>
    <cellStyle name="Normal 51 2 3 3 3 2" xfId="15298"/>
    <cellStyle name="Normal 51 2 3 3 4" xfId="10785"/>
    <cellStyle name="Normal 51 2 3 4" xfId="3441"/>
    <cellStyle name="Normal 51 2 3 4 2" xfId="7956"/>
    <cellStyle name="Normal 51 2 3 4 2 2" xfId="16997"/>
    <cellStyle name="Normal 51 2 3 4 3" xfId="12484"/>
    <cellStyle name="Normal 51 2 3 5" xfId="5129"/>
    <cellStyle name="Normal 51 2 3 5 2" xfId="14170"/>
    <cellStyle name="Normal 51 2 3 6" xfId="9657"/>
    <cellStyle name="Normal 51 2 4" xfId="752"/>
    <cellStyle name="Normal 51 2 4 2" xfId="1922"/>
    <cellStyle name="Normal 51 2 4 2 2" xfId="3446"/>
    <cellStyle name="Normal 51 2 4 2 2 2" xfId="7961"/>
    <cellStyle name="Normal 51 2 4 2 2 2 2" xfId="17002"/>
    <cellStyle name="Normal 51 2 4 2 2 3" xfId="12489"/>
    <cellStyle name="Normal 51 2 4 2 3" xfId="6445"/>
    <cellStyle name="Normal 51 2 4 2 3 2" xfId="15486"/>
    <cellStyle name="Normal 51 2 4 2 4" xfId="10973"/>
    <cellStyle name="Normal 51 2 4 3" xfId="3445"/>
    <cellStyle name="Normal 51 2 4 3 2" xfId="7960"/>
    <cellStyle name="Normal 51 2 4 3 2 2" xfId="17001"/>
    <cellStyle name="Normal 51 2 4 3 3" xfId="12488"/>
    <cellStyle name="Normal 51 2 4 4" xfId="5317"/>
    <cellStyle name="Normal 51 2 4 4 2" xfId="14358"/>
    <cellStyle name="Normal 51 2 4 5" xfId="9845"/>
    <cellStyle name="Normal 51 2 5" xfId="1358"/>
    <cellStyle name="Normal 51 2 5 2" xfId="3447"/>
    <cellStyle name="Normal 51 2 5 2 2" xfId="7962"/>
    <cellStyle name="Normal 51 2 5 2 2 2" xfId="17003"/>
    <cellStyle name="Normal 51 2 5 2 3" xfId="12490"/>
    <cellStyle name="Normal 51 2 5 3" xfId="5881"/>
    <cellStyle name="Normal 51 2 5 3 2" xfId="14922"/>
    <cellStyle name="Normal 51 2 5 4" xfId="10409"/>
    <cellStyle name="Normal 51 2 6" xfId="3436"/>
    <cellStyle name="Normal 51 2 6 2" xfId="7951"/>
    <cellStyle name="Normal 51 2 6 2 2" xfId="16992"/>
    <cellStyle name="Normal 51 2 6 3" xfId="12479"/>
    <cellStyle name="Normal 51 2 7" xfId="4753"/>
    <cellStyle name="Normal 51 2 7 2" xfId="13794"/>
    <cellStyle name="Normal 51 2 8" xfId="9281"/>
    <cellStyle name="Normal 51 3" xfId="282"/>
    <cellStyle name="Normal 51 3 2" xfId="846"/>
    <cellStyle name="Normal 51 3 2 2" xfId="2016"/>
    <cellStyle name="Normal 51 3 2 2 2" xfId="3450"/>
    <cellStyle name="Normal 51 3 2 2 2 2" xfId="7965"/>
    <cellStyle name="Normal 51 3 2 2 2 2 2" xfId="17006"/>
    <cellStyle name="Normal 51 3 2 2 2 3" xfId="12493"/>
    <cellStyle name="Normal 51 3 2 2 3" xfId="6539"/>
    <cellStyle name="Normal 51 3 2 2 3 2" xfId="15580"/>
    <cellStyle name="Normal 51 3 2 2 4" xfId="11067"/>
    <cellStyle name="Normal 51 3 2 3" xfId="3449"/>
    <cellStyle name="Normal 51 3 2 3 2" xfId="7964"/>
    <cellStyle name="Normal 51 3 2 3 2 2" xfId="17005"/>
    <cellStyle name="Normal 51 3 2 3 3" xfId="12492"/>
    <cellStyle name="Normal 51 3 2 4" xfId="5411"/>
    <cellStyle name="Normal 51 3 2 4 2" xfId="14452"/>
    <cellStyle name="Normal 51 3 2 5" xfId="9939"/>
    <cellStyle name="Normal 51 3 3" xfId="1452"/>
    <cellStyle name="Normal 51 3 3 2" xfId="3451"/>
    <cellStyle name="Normal 51 3 3 2 2" xfId="7966"/>
    <cellStyle name="Normal 51 3 3 2 2 2" xfId="17007"/>
    <cellStyle name="Normal 51 3 3 2 3" xfId="12494"/>
    <cellStyle name="Normal 51 3 3 3" xfId="5975"/>
    <cellStyle name="Normal 51 3 3 3 2" xfId="15016"/>
    <cellStyle name="Normal 51 3 3 4" xfId="10503"/>
    <cellStyle name="Normal 51 3 4" xfId="3448"/>
    <cellStyle name="Normal 51 3 4 2" xfId="7963"/>
    <cellStyle name="Normal 51 3 4 2 2" xfId="17004"/>
    <cellStyle name="Normal 51 3 4 3" xfId="12491"/>
    <cellStyle name="Normal 51 3 5" xfId="4847"/>
    <cellStyle name="Normal 51 3 5 2" xfId="13888"/>
    <cellStyle name="Normal 51 3 6" xfId="9375"/>
    <cellStyle name="Normal 51 4" xfId="470"/>
    <cellStyle name="Normal 51 4 2" xfId="1034"/>
    <cellStyle name="Normal 51 4 2 2" xfId="2204"/>
    <cellStyle name="Normal 51 4 2 2 2" xfId="3454"/>
    <cellStyle name="Normal 51 4 2 2 2 2" xfId="7969"/>
    <cellStyle name="Normal 51 4 2 2 2 2 2" xfId="17010"/>
    <cellStyle name="Normal 51 4 2 2 2 3" xfId="12497"/>
    <cellStyle name="Normal 51 4 2 2 3" xfId="6727"/>
    <cellStyle name="Normal 51 4 2 2 3 2" xfId="15768"/>
    <cellStyle name="Normal 51 4 2 2 4" xfId="11255"/>
    <cellStyle name="Normal 51 4 2 3" xfId="3453"/>
    <cellStyle name="Normal 51 4 2 3 2" xfId="7968"/>
    <cellStyle name="Normal 51 4 2 3 2 2" xfId="17009"/>
    <cellStyle name="Normal 51 4 2 3 3" xfId="12496"/>
    <cellStyle name="Normal 51 4 2 4" xfId="5599"/>
    <cellStyle name="Normal 51 4 2 4 2" xfId="14640"/>
    <cellStyle name="Normal 51 4 2 5" xfId="10127"/>
    <cellStyle name="Normal 51 4 3" xfId="1640"/>
    <cellStyle name="Normal 51 4 3 2" xfId="3455"/>
    <cellStyle name="Normal 51 4 3 2 2" xfId="7970"/>
    <cellStyle name="Normal 51 4 3 2 2 2" xfId="17011"/>
    <cellStyle name="Normal 51 4 3 2 3" xfId="12498"/>
    <cellStyle name="Normal 51 4 3 3" xfId="6163"/>
    <cellStyle name="Normal 51 4 3 3 2" xfId="15204"/>
    <cellStyle name="Normal 51 4 3 4" xfId="10691"/>
    <cellStyle name="Normal 51 4 4" xfId="3452"/>
    <cellStyle name="Normal 51 4 4 2" xfId="7967"/>
    <cellStyle name="Normal 51 4 4 2 2" xfId="17008"/>
    <cellStyle name="Normal 51 4 4 3" xfId="12495"/>
    <cellStyle name="Normal 51 4 5" xfId="5035"/>
    <cellStyle name="Normal 51 4 5 2" xfId="14076"/>
    <cellStyle name="Normal 51 4 6" xfId="9563"/>
    <cellStyle name="Normal 51 5" xfId="658"/>
    <cellStyle name="Normal 51 5 2" xfId="1828"/>
    <cellStyle name="Normal 51 5 2 2" xfId="3457"/>
    <cellStyle name="Normal 51 5 2 2 2" xfId="7972"/>
    <cellStyle name="Normal 51 5 2 2 2 2" xfId="17013"/>
    <cellStyle name="Normal 51 5 2 2 3" xfId="12500"/>
    <cellStyle name="Normal 51 5 2 3" xfId="6351"/>
    <cellStyle name="Normal 51 5 2 3 2" xfId="15392"/>
    <cellStyle name="Normal 51 5 2 4" xfId="10879"/>
    <cellStyle name="Normal 51 5 3" xfId="3456"/>
    <cellStyle name="Normal 51 5 3 2" xfId="7971"/>
    <cellStyle name="Normal 51 5 3 2 2" xfId="17012"/>
    <cellStyle name="Normal 51 5 3 3" xfId="12499"/>
    <cellStyle name="Normal 51 5 4" xfId="5223"/>
    <cellStyle name="Normal 51 5 4 2" xfId="14264"/>
    <cellStyle name="Normal 51 5 5" xfId="9751"/>
    <cellStyle name="Normal 51 6" xfId="1264"/>
    <cellStyle name="Normal 51 6 2" xfId="3458"/>
    <cellStyle name="Normal 51 6 2 2" xfId="7973"/>
    <cellStyle name="Normal 51 6 2 2 2" xfId="17014"/>
    <cellStyle name="Normal 51 6 2 3" xfId="12501"/>
    <cellStyle name="Normal 51 6 3" xfId="5787"/>
    <cellStyle name="Normal 51 6 3 2" xfId="14828"/>
    <cellStyle name="Normal 51 6 4" xfId="10315"/>
    <cellStyle name="Normal 51 7" xfId="3435"/>
    <cellStyle name="Normal 51 7 2" xfId="7950"/>
    <cellStyle name="Normal 51 7 2 2" xfId="16991"/>
    <cellStyle name="Normal 51 7 3" xfId="12478"/>
    <cellStyle name="Normal 51 8" xfId="4659"/>
    <cellStyle name="Normal 51 8 2" xfId="13700"/>
    <cellStyle name="Normal 51 9" xfId="9187"/>
    <cellStyle name="Normal 52" xfId="52"/>
    <cellStyle name="Normal 52 2" xfId="148"/>
    <cellStyle name="Normal 52 2 2" xfId="377"/>
    <cellStyle name="Normal 52 2 2 2" xfId="941"/>
    <cellStyle name="Normal 52 2 2 2 2" xfId="2111"/>
    <cellStyle name="Normal 52 2 2 2 2 2" xfId="3463"/>
    <cellStyle name="Normal 52 2 2 2 2 2 2" xfId="7978"/>
    <cellStyle name="Normal 52 2 2 2 2 2 2 2" xfId="17019"/>
    <cellStyle name="Normal 52 2 2 2 2 2 3" xfId="12506"/>
    <cellStyle name="Normal 52 2 2 2 2 3" xfId="6634"/>
    <cellStyle name="Normal 52 2 2 2 2 3 2" xfId="15675"/>
    <cellStyle name="Normal 52 2 2 2 2 4" xfId="11162"/>
    <cellStyle name="Normal 52 2 2 2 3" xfId="3462"/>
    <cellStyle name="Normal 52 2 2 2 3 2" xfId="7977"/>
    <cellStyle name="Normal 52 2 2 2 3 2 2" xfId="17018"/>
    <cellStyle name="Normal 52 2 2 2 3 3" xfId="12505"/>
    <cellStyle name="Normal 52 2 2 2 4" xfId="5506"/>
    <cellStyle name="Normal 52 2 2 2 4 2" xfId="14547"/>
    <cellStyle name="Normal 52 2 2 2 5" xfId="10034"/>
    <cellStyle name="Normal 52 2 2 3" xfId="1547"/>
    <cellStyle name="Normal 52 2 2 3 2" xfId="3464"/>
    <cellStyle name="Normal 52 2 2 3 2 2" xfId="7979"/>
    <cellStyle name="Normal 52 2 2 3 2 2 2" xfId="17020"/>
    <cellStyle name="Normal 52 2 2 3 2 3" xfId="12507"/>
    <cellStyle name="Normal 52 2 2 3 3" xfId="6070"/>
    <cellStyle name="Normal 52 2 2 3 3 2" xfId="15111"/>
    <cellStyle name="Normal 52 2 2 3 4" xfId="10598"/>
    <cellStyle name="Normal 52 2 2 4" xfId="3461"/>
    <cellStyle name="Normal 52 2 2 4 2" xfId="7976"/>
    <cellStyle name="Normal 52 2 2 4 2 2" xfId="17017"/>
    <cellStyle name="Normal 52 2 2 4 3" xfId="12504"/>
    <cellStyle name="Normal 52 2 2 5" xfId="4942"/>
    <cellStyle name="Normal 52 2 2 5 2" xfId="13983"/>
    <cellStyle name="Normal 52 2 2 6" xfId="9470"/>
    <cellStyle name="Normal 52 2 3" xfId="565"/>
    <cellStyle name="Normal 52 2 3 2" xfId="1129"/>
    <cellStyle name="Normal 52 2 3 2 2" xfId="2299"/>
    <cellStyle name="Normal 52 2 3 2 2 2" xfId="3467"/>
    <cellStyle name="Normal 52 2 3 2 2 2 2" xfId="7982"/>
    <cellStyle name="Normal 52 2 3 2 2 2 2 2" xfId="17023"/>
    <cellStyle name="Normal 52 2 3 2 2 2 3" xfId="12510"/>
    <cellStyle name="Normal 52 2 3 2 2 3" xfId="6822"/>
    <cellStyle name="Normal 52 2 3 2 2 3 2" xfId="15863"/>
    <cellStyle name="Normal 52 2 3 2 2 4" xfId="11350"/>
    <cellStyle name="Normal 52 2 3 2 3" xfId="3466"/>
    <cellStyle name="Normal 52 2 3 2 3 2" xfId="7981"/>
    <cellStyle name="Normal 52 2 3 2 3 2 2" xfId="17022"/>
    <cellStyle name="Normal 52 2 3 2 3 3" xfId="12509"/>
    <cellStyle name="Normal 52 2 3 2 4" xfId="5694"/>
    <cellStyle name="Normal 52 2 3 2 4 2" xfId="14735"/>
    <cellStyle name="Normal 52 2 3 2 5" xfId="10222"/>
    <cellStyle name="Normal 52 2 3 3" xfId="1735"/>
    <cellStyle name="Normal 52 2 3 3 2" xfId="3468"/>
    <cellStyle name="Normal 52 2 3 3 2 2" xfId="7983"/>
    <cellStyle name="Normal 52 2 3 3 2 2 2" xfId="17024"/>
    <cellStyle name="Normal 52 2 3 3 2 3" xfId="12511"/>
    <cellStyle name="Normal 52 2 3 3 3" xfId="6258"/>
    <cellStyle name="Normal 52 2 3 3 3 2" xfId="15299"/>
    <cellStyle name="Normal 52 2 3 3 4" xfId="10786"/>
    <cellStyle name="Normal 52 2 3 4" xfId="3465"/>
    <cellStyle name="Normal 52 2 3 4 2" xfId="7980"/>
    <cellStyle name="Normal 52 2 3 4 2 2" xfId="17021"/>
    <cellStyle name="Normal 52 2 3 4 3" xfId="12508"/>
    <cellStyle name="Normal 52 2 3 5" xfId="5130"/>
    <cellStyle name="Normal 52 2 3 5 2" xfId="14171"/>
    <cellStyle name="Normal 52 2 3 6" xfId="9658"/>
    <cellStyle name="Normal 52 2 4" xfId="753"/>
    <cellStyle name="Normal 52 2 4 2" xfId="1923"/>
    <cellStyle name="Normal 52 2 4 2 2" xfId="3470"/>
    <cellStyle name="Normal 52 2 4 2 2 2" xfId="7985"/>
    <cellStyle name="Normal 52 2 4 2 2 2 2" xfId="17026"/>
    <cellStyle name="Normal 52 2 4 2 2 3" xfId="12513"/>
    <cellStyle name="Normal 52 2 4 2 3" xfId="6446"/>
    <cellStyle name="Normal 52 2 4 2 3 2" xfId="15487"/>
    <cellStyle name="Normal 52 2 4 2 4" xfId="10974"/>
    <cellStyle name="Normal 52 2 4 3" xfId="3469"/>
    <cellStyle name="Normal 52 2 4 3 2" xfId="7984"/>
    <cellStyle name="Normal 52 2 4 3 2 2" xfId="17025"/>
    <cellStyle name="Normal 52 2 4 3 3" xfId="12512"/>
    <cellStyle name="Normal 52 2 4 4" xfId="5318"/>
    <cellStyle name="Normal 52 2 4 4 2" xfId="14359"/>
    <cellStyle name="Normal 52 2 4 5" xfId="9846"/>
    <cellStyle name="Normal 52 2 5" xfId="1359"/>
    <cellStyle name="Normal 52 2 5 2" xfId="3471"/>
    <cellStyle name="Normal 52 2 5 2 2" xfId="7986"/>
    <cellStyle name="Normal 52 2 5 2 2 2" xfId="17027"/>
    <cellStyle name="Normal 52 2 5 2 3" xfId="12514"/>
    <cellStyle name="Normal 52 2 5 3" xfId="5882"/>
    <cellStyle name="Normal 52 2 5 3 2" xfId="14923"/>
    <cellStyle name="Normal 52 2 5 4" xfId="10410"/>
    <cellStyle name="Normal 52 2 6" xfId="3460"/>
    <cellStyle name="Normal 52 2 6 2" xfId="7975"/>
    <cellStyle name="Normal 52 2 6 2 2" xfId="17016"/>
    <cellStyle name="Normal 52 2 6 3" xfId="12503"/>
    <cellStyle name="Normal 52 2 7" xfId="4754"/>
    <cellStyle name="Normal 52 2 7 2" xfId="13795"/>
    <cellStyle name="Normal 52 2 8" xfId="9282"/>
    <cellStyle name="Normal 52 3" xfId="283"/>
    <cellStyle name="Normal 52 3 2" xfId="847"/>
    <cellStyle name="Normal 52 3 2 2" xfId="2017"/>
    <cellStyle name="Normal 52 3 2 2 2" xfId="3474"/>
    <cellStyle name="Normal 52 3 2 2 2 2" xfId="7989"/>
    <cellStyle name="Normal 52 3 2 2 2 2 2" xfId="17030"/>
    <cellStyle name="Normal 52 3 2 2 2 3" xfId="12517"/>
    <cellStyle name="Normal 52 3 2 2 3" xfId="6540"/>
    <cellStyle name="Normal 52 3 2 2 3 2" xfId="15581"/>
    <cellStyle name="Normal 52 3 2 2 4" xfId="11068"/>
    <cellStyle name="Normal 52 3 2 3" xfId="3473"/>
    <cellStyle name="Normal 52 3 2 3 2" xfId="7988"/>
    <cellStyle name="Normal 52 3 2 3 2 2" xfId="17029"/>
    <cellStyle name="Normal 52 3 2 3 3" xfId="12516"/>
    <cellStyle name="Normal 52 3 2 4" xfId="5412"/>
    <cellStyle name="Normal 52 3 2 4 2" xfId="14453"/>
    <cellStyle name="Normal 52 3 2 5" xfId="9940"/>
    <cellStyle name="Normal 52 3 3" xfId="1453"/>
    <cellStyle name="Normal 52 3 3 2" xfId="3475"/>
    <cellStyle name="Normal 52 3 3 2 2" xfId="7990"/>
    <cellStyle name="Normal 52 3 3 2 2 2" xfId="17031"/>
    <cellStyle name="Normal 52 3 3 2 3" xfId="12518"/>
    <cellStyle name="Normal 52 3 3 3" xfId="5976"/>
    <cellStyle name="Normal 52 3 3 3 2" xfId="15017"/>
    <cellStyle name="Normal 52 3 3 4" xfId="10504"/>
    <cellStyle name="Normal 52 3 4" xfId="3472"/>
    <cellStyle name="Normal 52 3 4 2" xfId="7987"/>
    <cellStyle name="Normal 52 3 4 2 2" xfId="17028"/>
    <cellStyle name="Normal 52 3 4 3" xfId="12515"/>
    <cellStyle name="Normal 52 3 5" xfId="4848"/>
    <cellStyle name="Normal 52 3 5 2" xfId="13889"/>
    <cellStyle name="Normal 52 3 6" xfId="9376"/>
    <cellStyle name="Normal 52 4" xfId="471"/>
    <cellStyle name="Normal 52 4 2" xfId="1035"/>
    <cellStyle name="Normal 52 4 2 2" xfId="2205"/>
    <cellStyle name="Normal 52 4 2 2 2" xfId="3478"/>
    <cellStyle name="Normal 52 4 2 2 2 2" xfId="7993"/>
    <cellStyle name="Normal 52 4 2 2 2 2 2" xfId="17034"/>
    <cellStyle name="Normal 52 4 2 2 2 3" xfId="12521"/>
    <cellStyle name="Normal 52 4 2 2 3" xfId="6728"/>
    <cellStyle name="Normal 52 4 2 2 3 2" xfId="15769"/>
    <cellStyle name="Normal 52 4 2 2 4" xfId="11256"/>
    <cellStyle name="Normal 52 4 2 3" xfId="3477"/>
    <cellStyle name="Normal 52 4 2 3 2" xfId="7992"/>
    <cellStyle name="Normal 52 4 2 3 2 2" xfId="17033"/>
    <cellStyle name="Normal 52 4 2 3 3" xfId="12520"/>
    <cellStyle name="Normal 52 4 2 4" xfId="5600"/>
    <cellStyle name="Normal 52 4 2 4 2" xfId="14641"/>
    <cellStyle name="Normal 52 4 2 5" xfId="10128"/>
    <cellStyle name="Normal 52 4 3" xfId="1641"/>
    <cellStyle name="Normal 52 4 3 2" xfId="3479"/>
    <cellStyle name="Normal 52 4 3 2 2" xfId="7994"/>
    <cellStyle name="Normal 52 4 3 2 2 2" xfId="17035"/>
    <cellStyle name="Normal 52 4 3 2 3" xfId="12522"/>
    <cellStyle name="Normal 52 4 3 3" xfId="6164"/>
    <cellStyle name="Normal 52 4 3 3 2" xfId="15205"/>
    <cellStyle name="Normal 52 4 3 4" xfId="10692"/>
    <cellStyle name="Normal 52 4 4" xfId="3476"/>
    <cellStyle name="Normal 52 4 4 2" xfId="7991"/>
    <cellStyle name="Normal 52 4 4 2 2" xfId="17032"/>
    <cellStyle name="Normal 52 4 4 3" xfId="12519"/>
    <cellStyle name="Normal 52 4 5" xfId="5036"/>
    <cellStyle name="Normal 52 4 5 2" xfId="14077"/>
    <cellStyle name="Normal 52 4 6" xfId="9564"/>
    <cellStyle name="Normal 52 5" xfId="659"/>
    <cellStyle name="Normal 52 5 2" xfId="1829"/>
    <cellStyle name="Normal 52 5 2 2" xfId="3481"/>
    <cellStyle name="Normal 52 5 2 2 2" xfId="7996"/>
    <cellStyle name="Normal 52 5 2 2 2 2" xfId="17037"/>
    <cellStyle name="Normal 52 5 2 2 3" xfId="12524"/>
    <cellStyle name="Normal 52 5 2 3" xfId="6352"/>
    <cellStyle name="Normal 52 5 2 3 2" xfId="15393"/>
    <cellStyle name="Normal 52 5 2 4" xfId="10880"/>
    <cellStyle name="Normal 52 5 3" xfId="3480"/>
    <cellStyle name="Normal 52 5 3 2" xfId="7995"/>
    <cellStyle name="Normal 52 5 3 2 2" xfId="17036"/>
    <cellStyle name="Normal 52 5 3 3" xfId="12523"/>
    <cellStyle name="Normal 52 5 4" xfId="5224"/>
    <cellStyle name="Normal 52 5 4 2" xfId="14265"/>
    <cellStyle name="Normal 52 5 5" xfId="9752"/>
    <cellStyle name="Normal 52 6" xfId="1265"/>
    <cellStyle name="Normal 52 6 2" xfId="3482"/>
    <cellStyle name="Normal 52 6 2 2" xfId="7997"/>
    <cellStyle name="Normal 52 6 2 2 2" xfId="17038"/>
    <cellStyle name="Normal 52 6 2 3" xfId="12525"/>
    <cellStyle name="Normal 52 6 3" xfId="5788"/>
    <cellStyle name="Normal 52 6 3 2" xfId="14829"/>
    <cellStyle name="Normal 52 6 4" xfId="10316"/>
    <cellStyle name="Normal 52 7" xfId="3459"/>
    <cellStyle name="Normal 52 7 2" xfId="7974"/>
    <cellStyle name="Normal 52 7 2 2" xfId="17015"/>
    <cellStyle name="Normal 52 7 3" xfId="12502"/>
    <cellStyle name="Normal 52 8" xfId="4660"/>
    <cellStyle name="Normal 52 8 2" xfId="13701"/>
    <cellStyle name="Normal 52 9" xfId="9188"/>
    <cellStyle name="Normal 53" xfId="53"/>
    <cellStyle name="Normal 53 2" xfId="149"/>
    <cellStyle name="Normal 53 2 2" xfId="378"/>
    <cellStyle name="Normal 53 2 2 2" xfId="942"/>
    <cellStyle name="Normal 53 2 2 2 2" xfId="2112"/>
    <cellStyle name="Normal 53 2 2 2 2 2" xfId="3487"/>
    <cellStyle name="Normal 53 2 2 2 2 2 2" xfId="8002"/>
    <cellStyle name="Normal 53 2 2 2 2 2 2 2" xfId="17043"/>
    <cellStyle name="Normal 53 2 2 2 2 2 3" xfId="12530"/>
    <cellStyle name="Normal 53 2 2 2 2 3" xfId="6635"/>
    <cellStyle name="Normal 53 2 2 2 2 3 2" xfId="15676"/>
    <cellStyle name="Normal 53 2 2 2 2 4" xfId="11163"/>
    <cellStyle name="Normal 53 2 2 2 3" xfId="3486"/>
    <cellStyle name="Normal 53 2 2 2 3 2" xfId="8001"/>
    <cellStyle name="Normal 53 2 2 2 3 2 2" xfId="17042"/>
    <cellStyle name="Normal 53 2 2 2 3 3" xfId="12529"/>
    <cellStyle name="Normal 53 2 2 2 4" xfId="5507"/>
    <cellStyle name="Normal 53 2 2 2 4 2" xfId="14548"/>
    <cellStyle name="Normal 53 2 2 2 5" xfId="10035"/>
    <cellStyle name="Normal 53 2 2 3" xfId="1548"/>
    <cellStyle name="Normal 53 2 2 3 2" xfId="3488"/>
    <cellStyle name="Normal 53 2 2 3 2 2" xfId="8003"/>
    <cellStyle name="Normal 53 2 2 3 2 2 2" xfId="17044"/>
    <cellStyle name="Normal 53 2 2 3 2 3" xfId="12531"/>
    <cellStyle name="Normal 53 2 2 3 3" xfId="6071"/>
    <cellStyle name="Normal 53 2 2 3 3 2" xfId="15112"/>
    <cellStyle name="Normal 53 2 2 3 4" xfId="10599"/>
    <cellStyle name="Normal 53 2 2 4" xfId="3485"/>
    <cellStyle name="Normal 53 2 2 4 2" xfId="8000"/>
    <cellStyle name="Normal 53 2 2 4 2 2" xfId="17041"/>
    <cellStyle name="Normal 53 2 2 4 3" xfId="12528"/>
    <cellStyle name="Normal 53 2 2 5" xfId="4943"/>
    <cellStyle name="Normal 53 2 2 5 2" xfId="13984"/>
    <cellStyle name="Normal 53 2 2 6" xfId="9471"/>
    <cellStyle name="Normal 53 2 3" xfId="566"/>
    <cellStyle name="Normal 53 2 3 2" xfId="1130"/>
    <cellStyle name="Normal 53 2 3 2 2" xfId="2300"/>
    <cellStyle name="Normal 53 2 3 2 2 2" xfId="3491"/>
    <cellStyle name="Normal 53 2 3 2 2 2 2" xfId="8006"/>
    <cellStyle name="Normal 53 2 3 2 2 2 2 2" xfId="17047"/>
    <cellStyle name="Normal 53 2 3 2 2 2 3" xfId="12534"/>
    <cellStyle name="Normal 53 2 3 2 2 3" xfId="6823"/>
    <cellStyle name="Normal 53 2 3 2 2 3 2" xfId="15864"/>
    <cellStyle name="Normal 53 2 3 2 2 4" xfId="11351"/>
    <cellStyle name="Normal 53 2 3 2 3" xfId="3490"/>
    <cellStyle name="Normal 53 2 3 2 3 2" xfId="8005"/>
    <cellStyle name="Normal 53 2 3 2 3 2 2" xfId="17046"/>
    <cellStyle name="Normal 53 2 3 2 3 3" xfId="12533"/>
    <cellStyle name="Normal 53 2 3 2 4" xfId="5695"/>
    <cellStyle name="Normal 53 2 3 2 4 2" xfId="14736"/>
    <cellStyle name="Normal 53 2 3 2 5" xfId="10223"/>
    <cellStyle name="Normal 53 2 3 3" xfId="1736"/>
    <cellStyle name="Normal 53 2 3 3 2" xfId="3492"/>
    <cellStyle name="Normal 53 2 3 3 2 2" xfId="8007"/>
    <cellStyle name="Normal 53 2 3 3 2 2 2" xfId="17048"/>
    <cellStyle name="Normal 53 2 3 3 2 3" xfId="12535"/>
    <cellStyle name="Normal 53 2 3 3 3" xfId="6259"/>
    <cellStyle name="Normal 53 2 3 3 3 2" xfId="15300"/>
    <cellStyle name="Normal 53 2 3 3 4" xfId="10787"/>
    <cellStyle name="Normal 53 2 3 4" xfId="3489"/>
    <cellStyle name="Normal 53 2 3 4 2" xfId="8004"/>
    <cellStyle name="Normal 53 2 3 4 2 2" xfId="17045"/>
    <cellStyle name="Normal 53 2 3 4 3" xfId="12532"/>
    <cellStyle name="Normal 53 2 3 5" xfId="5131"/>
    <cellStyle name="Normal 53 2 3 5 2" xfId="14172"/>
    <cellStyle name="Normal 53 2 3 6" xfId="9659"/>
    <cellStyle name="Normal 53 2 4" xfId="754"/>
    <cellStyle name="Normal 53 2 4 2" xfId="1924"/>
    <cellStyle name="Normal 53 2 4 2 2" xfId="3494"/>
    <cellStyle name="Normal 53 2 4 2 2 2" xfId="8009"/>
    <cellStyle name="Normal 53 2 4 2 2 2 2" xfId="17050"/>
    <cellStyle name="Normal 53 2 4 2 2 3" xfId="12537"/>
    <cellStyle name="Normal 53 2 4 2 3" xfId="6447"/>
    <cellStyle name="Normal 53 2 4 2 3 2" xfId="15488"/>
    <cellStyle name="Normal 53 2 4 2 4" xfId="10975"/>
    <cellStyle name="Normal 53 2 4 3" xfId="3493"/>
    <cellStyle name="Normal 53 2 4 3 2" xfId="8008"/>
    <cellStyle name="Normal 53 2 4 3 2 2" xfId="17049"/>
    <cellStyle name="Normal 53 2 4 3 3" xfId="12536"/>
    <cellStyle name="Normal 53 2 4 4" xfId="5319"/>
    <cellStyle name="Normal 53 2 4 4 2" xfId="14360"/>
    <cellStyle name="Normal 53 2 4 5" xfId="9847"/>
    <cellStyle name="Normal 53 2 5" xfId="1360"/>
    <cellStyle name="Normal 53 2 5 2" xfId="3495"/>
    <cellStyle name="Normal 53 2 5 2 2" xfId="8010"/>
    <cellStyle name="Normal 53 2 5 2 2 2" xfId="17051"/>
    <cellStyle name="Normal 53 2 5 2 3" xfId="12538"/>
    <cellStyle name="Normal 53 2 5 3" xfId="5883"/>
    <cellStyle name="Normal 53 2 5 3 2" xfId="14924"/>
    <cellStyle name="Normal 53 2 5 4" xfId="10411"/>
    <cellStyle name="Normal 53 2 6" xfId="3484"/>
    <cellStyle name="Normal 53 2 6 2" xfId="7999"/>
    <cellStyle name="Normal 53 2 6 2 2" xfId="17040"/>
    <cellStyle name="Normal 53 2 6 3" xfId="12527"/>
    <cellStyle name="Normal 53 2 7" xfId="4755"/>
    <cellStyle name="Normal 53 2 7 2" xfId="13796"/>
    <cellStyle name="Normal 53 2 8" xfId="9283"/>
    <cellStyle name="Normal 53 3" xfId="284"/>
    <cellStyle name="Normal 53 3 2" xfId="848"/>
    <cellStyle name="Normal 53 3 2 2" xfId="2018"/>
    <cellStyle name="Normal 53 3 2 2 2" xfId="3498"/>
    <cellStyle name="Normal 53 3 2 2 2 2" xfId="8013"/>
    <cellStyle name="Normal 53 3 2 2 2 2 2" xfId="17054"/>
    <cellStyle name="Normal 53 3 2 2 2 3" xfId="12541"/>
    <cellStyle name="Normal 53 3 2 2 3" xfId="6541"/>
    <cellStyle name="Normal 53 3 2 2 3 2" xfId="15582"/>
    <cellStyle name="Normal 53 3 2 2 4" xfId="11069"/>
    <cellStyle name="Normal 53 3 2 3" xfId="3497"/>
    <cellStyle name="Normal 53 3 2 3 2" xfId="8012"/>
    <cellStyle name="Normal 53 3 2 3 2 2" xfId="17053"/>
    <cellStyle name="Normal 53 3 2 3 3" xfId="12540"/>
    <cellStyle name="Normal 53 3 2 4" xfId="5413"/>
    <cellStyle name="Normal 53 3 2 4 2" xfId="14454"/>
    <cellStyle name="Normal 53 3 2 5" xfId="9941"/>
    <cellStyle name="Normal 53 3 3" xfId="1454"/>
    <cellStyle name="Normal 53 3 3 2" xfId="3499"/>
    <cellStyle name="Normal 53 3 3 2 2" xfId="8014"/>
    <cellStyle name="Normal 53 3 3 2 2 2" xfId="17055"/>
    <cellStyle name="Normal 53 3 3 2 3" xfId="12542"/>
    <cellStyle name="Normal 53 3 3 3" xfId="5977"/>
    <cellStyle name="Normal 53 3 3 3 2" xfId="15018"/>
    <cellStyle name="Normal 53 3 3 4" xfId="10505"/>
    <cellStyle name="Normal 53 3 4" xfId="3496"/>
    <cellStyle name="Normal 53 3 4 2" xfId="8011"/>
    <cellStyle name="Normal 53 3 4 2 2" xfId="17052"/>
    <cellStyle name="Normal 53 3 4 3" xfId="12539"/>
    <cellStyle name="Normal 53 3 5" xfId="4849"/>
    <cellStyle name="Normal 53 3 5 2" xfId="13890"/>
    <cellStyle name="Normal 53 3 6" xfId="9377"/>
    <cellStyle name="Normal 53 4" xfId="472"/>
    <cellStyle name="Normal 53 4 2" xfId="1036"/>
    <cellStyle name="Normal 53 4 2 2" xfId="2206"/>
    <cellStyle name="Normal 53 4 2 2 2" xfId="3502"/>
    <cellStyle name="Normal 53 4 2 2 2 2" xfId="8017"/>
    <cellStyle name="Normal 53 4 2 2 2 2 2" xfId="17058"/>
    <cellStyle name="Normal 53 4 2 2 2 3" xfId="12545"/>
    <cellStyle name="Normal 53 4 2 2 3" xfId="6729"/>
    <cellStyle name="Normal 53 4 2 2 3 2" xfId="15770"/>
    <cellStyle name="Normal 53 4 2 2 4" xfId="11257"/>
    <cellStyle name="Normal 53 4 2 3" xfId="3501"/>
    <cellStyle name="Normal 53 4 2 3 2" xfId="8016"/>
    <cellStyle name="Normal 53 4 2 3 2 2" xfId="17057"/>
    <cellStyle name="Normal 53 4 2 3 3" xfId="12544"/>
    <cellStyle name="Normal 53 4 2 4" xfId="5601"/>
    <cellStyle name="Normal 53 4 2 4 2" xfId="14642"/>
    <cellStyle name="Normal 53 4 2 5" xfId="10129"/>
    <cellStyle name="Normal 53 4 3" xfId="1642"/>
    <cellStyle name="Normal 53 4 3 2" xfId="3503"/>
    <cellStyle name="Normal 53 4 3 2 2" xfId="8018"/>
    <cellStyle name="Normal 53 4 3 2 2 2" xfId="17059"/>
    <cellStyle name="Normal 53 4 3 2 3" xfId="12546"/>
    <cellStyle name="Normal 53 4 3 3" xfId="6165"/>
    <cellStyle name="Normal 53 4 3 3 2" xfId="15206"/>
    <cellStyle name="Normal 53 4 3 4" xfId="10693"/>
    <cellStyle name="Normal 53 4 4" xfId="3500"/>
    <cellStyle name="Normal 53 4 4 2" xfId="8015"/>
    <cellStyle name="Normal 53 4 4 2 2" xfId="17056"/>
    <cellStyle name="Normal 53 4 4 3" xfId="12543"/>
    <cellStyle name="Normal 53 4 5" xfId="5037"/>
    <cellStyle name="Normal 53 4 5 2" xfId="14078"/>
    <cellStyle name="Normal 53 4 6" xfId="9565"/>
    <cellStyle name="Normal 53 5" xfId="660"/>
    <cellStyle name="Normal 53 5 2" xfId="1830"/>
    <cellStyle name="Normal 53 5 2 2" xfId="3505"/>
    <cellStyle name="Normal 53 5 2 2 2" xfId="8020"/>
    <cellStyle name="Normal 53 5 2 2 2 2" xfId="17061"/>
    <cellStyle name="Normal 53 5 2 2 3" xfId="12548"/>
    <cellStyle name="Normal 53 5 2 3" xfId="6353"/>
    <cellStyle name="Normal 53 5 2 3 2" xfId="15394"/>
    <cellStyle name="Normal 53 5 2 4" xfId="10881"/>
    <cellStyle name="Normal 53 5 3" xfId="3504"/>
    <cellStyle name="Normal 53 5 3 2" xfId="8019"/>
    <cellStyle name="Normal 53 5 3 2 2" xfId="17060"/>
    <cellStyle name="Normal 53 5 3 3" xfId="12547"/>
    <cellStyle name="Normal 53 5 4" xfId="5225"/>
    <cellStyle name="Normal 53 5 4 2" xfId="14266"/>
    <cellStyle name="Normal 53 5 5" xfId="9753"/>
    <cellStyle name="Normal 53 6" xfId="1266"/>
    <cellStyle name="Normal 53 6 2" xfId="3506"/>
    <cellStyle name="Normal 53 6 2 2" xfId="8021"/>
    <cellStyle name="Normal 53 6 2 2 2" xfId="17062"/>
    <cellStyle name="Normal 53 6 2 3" xfId="12549"/>
    <cellStyle name="Normal 53 6 3" xfId="5789"/>
    <cellStyle name="Normal 53 6 3 2" xfId="14830"/>
    <cellStyle name="Normal 53 6 4" xfId="10317"/>
    <cellStyle name="Normal 53 7" xfId="3483"/>
    <cellStyle name="Normal 53 7 2" xfId="7998"/>
    <cellStyle name="Normal 53 7 2 2" xfId="17039"/>
    <cellStyle name="Normal 53 7 3" xfId="12526"/>
    <cellStyle name="Normal 53 8" xfId="4661"/>
    <cellStyle name="Normal 53 8 2" xfId="13702"/>
    <cellStyle name="Normal 53 9" xfId="9189"/>
    <cellStyle name="Normal 54" xfId="54"/>
    <cellStyle name="Normal 54 2" xfId="150"/>
    <cellStyle name="Normal 54 2 2" xfId="379"/>
    <cellStyle name="Normal 54 2 2 2" xfId="943"/>
    <cellStyle name="Normal 54 2 2 2 2" xfId="2113"/>
    <cellStyle name="Normal 54 2 2 2 2 2" xfId="3511"/>
    <cellStyle name="Normal 54 2 2 2 2 2 2" xfId="8026"/>
    <cellStyle name="Normal 54 2 2 2 2 2 2 2" xfId="17067"/>
    <cellStyle name="Normal 54 2 2 2 2 2 3" xfId="12554"/>
    <cellStyle name="Normal 54 2 2 2 2 3" xfId="6636"/>
    <cellStyle name="Normal 54 2 2 2 2 3 2" xfId="15677"/>
    <cellStyle name="Normal 54 2 2 2 2 4" xfId="11164"/>
    <cellStyle name="Normal 54 2 2 2 3" xfId="3510"/>
    <cellStyle name="Normal 54 2 2 2 3 2" xfId="8025"/>
    <cellStyle name="Normal 54 2 2 2 3 2 2" xfId="17066"/>
    <cellStyle name="Normal 54 2 2 2 3 3" xfId="12553"/>
    <cellStyle name="Normal 54 2 2 2 4" xfId="5508"/>
    <cellStyle name="Normal 54 2 2 2 4 2" xfId="14549"/>
    <cellStyle name="Normal 54 2 2 2 5" xfId="10036"/>
    <cellStyle name="Normal 54 2 2 3" xfId="1549"/>
    <cellStyle name="Normal 54 2 2 3 2" xfId="3512"/>
    <cellStyle name="Normal 54 2 2 3 2 2" xfId="8027"/>
    <cellStyle name="Normal 54 2 2 3 2 2 2" xfId="17068"/>
    <cellStyle name="Normal 54 2 2 3 2 3" xfId="12555"/>
    <cellStyle name="Normal 54 2 2 3 3" xfId="6072"/>
    <cellStyle name="Normal 54 2 2 3 3 2" xfId="15113"/>
    <cellStyle name="Normal 54 2 2 3 4" xfId="10600"/>
    <cellStyle name="Normal 54 2 2 4" xfId="3509"/>
    <cellStyle name="Normal 54 2 2 4 2" xfId="8024"/>
    <cellStyle name="Normal 54 2 2 4 2 2" xfId="17065"/>
    <cellStyle name="Normal 54 2 2 4 3" xfId="12552"/>
    <cellStyle name="Normal 54 2 2 5" xfId="4944"/>
    <cellStyle name="Normal 54 2 2 5 2" xfId="13985"/>
    <cellStyle name="Normal 54 2 2 6" xfId="9472"/>
    <cellStyle name="Normal 54 2 3" xfId="567"/>
    <cellStyle name="Normal 54 2 3 2" xfId="1131"/>
    <cellStyle name="Normal 54 2 3 2 2" xfId="2301"/>
    <cellStyle name="Normal 54 2 3 2 2 2" xfId="3515"/>
    <cellStyle name="Normal 54 2 3 2 2 2 2" xfId="8030"/>
    <cellStyle name="Normal 54 2 3 2 2 2 2 2" xfId="17071"/>
    <cellStyle name="Normal 54 2 3 2 2 2 3" xfId="12558"/>
    <cellStyle name="Normal 54 2 3 2 2 3" xfId="6824"/>
    <cellStyle name="Normal 54 2 3 2 2 3 2" xfId="15865"/>
    <cellStyle name="Normal 54 2 3 2 2 4" xfId="11352"/>
    <cellStyle name="Normal 54 2 3 2 3" xfId="3514"/>
    <cellStyle name="Normal 54 2 3 2 3 2" xfId="8029"/>
    <cellStyle name="Normal 54 2 3 2 3 2 2" xfId="17070"/>
    <cellStyle name="Normal 54 2 3 2 3 3" xfId="12557"/>
    <cellStyle name="Normal 54 2 3 2 4" xfId="5696"/>
    <cellStyle name="Normal 54 2 3 2 4 2" xfId="14737"/>
    <cellStyle name="Normal 54 2 3 2 5" xfId="10224"/>
    <cellStyle name="Normal 54 2 3 3" xfId="1737"/>
    <cellStyle name="Normal 54 2 3 3 2" xfId="3516"/>
    <cellStyle name="Normal 54 2 3 3 2 2" xfId="8031"/>
    <cellStyle name="Normal 54 2 3 3 2 2 2" xfId="17072"/>
    <cellStyle name="Normal 54 2 3 3 2 3" xfId="12559"/>
    <cellStyle name="Normal 54 2 3 3 3" xfId="6260"/>
    <cellStyle name="Normal 54 2 3 3 3 2" xfId="15301"/>
    <cellStyle name="Normal 54 2 3 3 4" xfId="10788"/>
    <cellStyle name="Normal 54 2 3 4" xfId="3513"/>
    <cellStyle name="Normal 54 2 3 4 2" xfId="8028"/>
    <cellStyle name="Normal 54 2 3 4 2 2" xfId="17069"/>
    <cellStyle name="Normal 54 2 3 4 3" xfId="12556"/>
    <cellStyle name="Normal 54 2 3 5" xfId="5132"/>
    <cellStyle name="Normal 54 2 3 5 2" xfId="14173"/>
    <cellStyle name="Normal 54 2 3 6" xfId="9660"/>
    <cellStyle name="Normal 54 2 4" xfId="755"/>
    <cellStyle name="Normal 54 2 4 2" xfId="1925"/>
    <cellStyle name="Normal 54 2 4 2 2" xfId="3518"/>
    <cellStyle name="Normal 54 2 4 2 2 2" xfId="8033"/>
    <cellStyle name="Normal 54 2 4 2 2 2 2" xfId="17074"/>
    <cellStyle name="Normal 54 2 4 2 2 3" xfId="12561"/>
    <cellStyle name="Normal 54 2 4 2 3" xfId="6448"/>
    <cellStyle name="Normal 54 2 4 2 3 2" xfId="15489"/>
    <cellStyle name="Normal 54 2 4 2 4" xfId="10976"/>
    <cellStyle name="Normal 54 2 4 3" xfId="3517"/>
    <cellStyle name="Normal 54 2 4 3 2" xfId="8032"/>
    <cellStyle name="Normal 54 2 4 3 2 2" xfId="17073"/>
    <cellStyle name="Normal 54 2 4 3 3" xfId="12560"/>
    <cellStyle name="Normal 54 2 4 4" xfId="5320"/>
    <cellStyle name="Normal 54 2 4 4 2" xfId="14361"/>
    <cellStyle name="Normal 54 2 4 5" xfId="9848"/>
    <cellStyle name="Normal 54 2 5" xfId="1361"/>
    <cellStyle name="Normal 54 2 5 2" xfId="3519"/>
    <cellStyle name="Normal 54 2 5 2 2" xfId="8034"/>
    <cellStyle name="Normal 54 2 5 2 2 2" xfId="17075"/>
    <cellStyle name="Normal 54 2 5 2 3" xfId="12562"/>
    <cellStyle name="Normal 54 2 5 3" xfId="5884"/>
    <cellStyle name="Normal 54 2 5 3 2" xfId="14925"/>
    <cellStyle name="Normal 54 2 5 4" xfId="10412"/>
    <cellStyle name="Normal 54 2 6" xfId="3508"/>
    <cellStyle name="Normal 54 2 6 2" xfId="8023"/>
    <cellStyle name="Normal 54 2 6 2 2" xfId="17064"/>
    <cellStyle name="Normal 54 2 6 3" xfId="12551"/>
    <cellStyle name="Normal 54 2 7" xfId="4756"/>
    <cellStyle name="Normal 54 2 7 2" xfId="13797"/>
    <cellStyle name="Normal 54 2 8" xfId="9284"/>
    <cellStyle name="Normal 54 3" xfId="285"/>
    <cellStyle name="Normal 54 3 2" xfId="849"/>
    <cellStyle name="Normal 54 3 2 2" xfId="2019"/>
    <cellStyle name="Normal 54 3 2 2 2" xfId="3522"/>
    <cellStyle name="Normal 54 3 2 2 2 2" xfId="8037"/>
    <cellStyle name="Normal 54 3 2 2 2 2 2" xfId="17078"/>
    <cellStyle name="Normal 54 3 2 2 2 3" xfId="12565"/>
    <cellStyle name="Normal 54 3 2 2 3" xfId="6542"/>
    <cellStyle name="Normal 54 3 2 2 3 2" xfId="15583"/>
    <cellStyle name="Normal 54 3 2 2 4" xfId="11070"/>
    <cellStyle name="Normal 54 3 2 3" xfId="3521"/>
    <cellStyle name="Normal 54 3 2 3 2" xfId="8036"/>
    <cellStyle name="Normal 54 3 2 3 2 2" xfId="17077"/>
    <cellStyle name="Normal 54 3 2 3 3" xfId="12564"/>
    <cellStyle name="Normal 54 3 2 4" xfId="5414"/>
    <cellStyle name="Normal 54 3 2 4 2" xfId="14455"/>
    <cellStyle name="Normal 54 3 2 5" xfId="9942"/>
    <cellStyle name="Normal 54 3 3" xfId="1455"/>
    <cellStyle name="Normal 54 3 3 2" xfId="3523"/>
    <cellStyle name="Normal 54 3 3 2 2" xfId="8038"/>
    <cellStyle name="Normal 54 3 3 2 2 2" xfId="17079"/>
    <cellStyle name="Normal 54 3 3 2 3" xfId="12566"/>
    <cellStyle name="Normal 54 3 3 3" xfId="5978"/>
    <cellStyle name="Normal 54 3 3 3 2" xfId="15019"/>
    <cellStyle name="Normal 54 3 3 4" xfId="10506"/>
    <cellStyle name="Normal 54 3 4" xfId="3520"/>
    <cellStyle name="Normal 54 3 4 2" xfId="8035"/>
    <cellStyle name="Normal 54 3 4 2 2" xfId="17076"/>
    <cellStyle name="Normal 54 3 4 3" xfId="12563"/>
    <cellStyle name="Normal 54 3 5" xfId="4850"/>
    <cellStyle name="Normal 54 3 5 2" xfId="13891"/>
    <cellStyle name="Normal 54 3 6" xfId="9378"/>
    <cellStyle name="Normal 54 4" xfId="473"/>
    <cellStyle name="Normal 54 4 2" xfId="1037"/>
    <cellStyle name="Normal 54 4 2 2" xfId="2207"/>
    <cellStyle name="Normal 54 4 2 2 2" xfId="3526"/>
    <cellStyle name="Normal 54 4 2 2 2 2" xfId="8041"/>
    <cellStyle name="Normal 54 4 2 2 2 2 2" xfId="17082"/>
    <cellStyle name="Normal 54 4 2 2 2 3" xfId="12569"/>
    <cellStyle name="Normal 54 4 2 2 3" xfId="6730"/>
    <cellStyle name="Normal 54 4 2 2 3 2" xfId="15771"/>
    <cellStyle name="Normal 54 4 2 2 4" xfId="11258"/>
    <cellStyle name="Normal 54 4 2 3" xfId="3525"/>
    <cellStyle name="Normal 54 4 2 3 2" xfId="8040"/>
    <cellStyle name="Normal 54 4 2 3 2 2" xfId="17081"/>
    <cellStyle name="Normal 54 4 2 3 3" xfId="12568"/>
    <cellStyle name="Normal 54 4 2 4" xfId="5602"/>
    <cellStyle name="Normal 54 4 2 4 2" xfId="14643"/>
    <cellStyle name="Normal 54 4 2 5" xfId="10130"/>
    <cellStyle name="Normal 54 4 3" xfId="1643"/>
    <cellStyle name="Normal 54 4 3 2" xfId="3527"/>
    <cellStyle name="Normal 54 4 3 2 2" xfId="8042"/>
    <cellStyle name="Normal 54 4 3 2 2 2" xfId="17083"/>
    <cellStyle name="Normal 54 4 3 2 3" xfId="12570"/>
    <cellStyle name="Normal 54 4 3 3" xfId="6166"/>
    <cellStyle name="Normal 54 4 3 3 2" xfId="15207"/>
    <cellStyle name="Normal 54 4 3 4" xfId="10694"/>
    <cellStyle name="Normal 54 4 4" xfId="3524"/>
    <cellStyle name="Normal 54 4 4 2" xfId="8039"/>
    <cellStyle name="Normal 54 4 4 2 2" xfId="17080"/>
    <cellStyle name="Normal 54 4 4 3" xfId="12567"/>
    <cellStyle name="Normal 54 4 5" xfId="5038"/>
    <cellStyle name="Normal 54 4 5 2" xfId="14079"/>
    <cellStyle name="Normal 54 4 6" xfId="9566"/>
    <cellStyle name="Normal 54 5" xfId="661"/>
    <cellStyle name="Normal 54 5 2" xfId="1831"/>
    <cellStyle name="Normal 54 5 2 2" xfId="3529"/>
    <cellStyle name="Normal 54 5 2 2 2" xfId="8044"/>
    <cellStyle name="Normal 54 5 2 2 2 2" xfId="17085"/>
    <cellStyle name="Normal 54 5 2 2 3" xfId="12572"/>
    <cellStyle name="Normal 54 5 2 3" xfId="6354"/>
    <cellStyle name="Normal 54 5 2 3 2" xfId="15395"/>
    <cellStyle name="Normal 54 5 2 4" xfId="10882"/>
    <cellStyle name="Normal 54 5 3" xfId="3528"/>
    <cellStyle name="Normal 54 5 3 2" xfId="8043"/>
    <cellStyle name="Normal 54 5 3 2 2" xfId="17084"/>
    <cellStyle name="Normal 54 5 3 3" xfId="12571"/>
    <cellStyle name="Normal 54 5 4" xfId="5226"/>
    <cellStyle name="Normal 54 5 4 2" xfId="14267"/>
    <cellStyle name="Normal 54 5 5" xfId="9754"/>
    <cellStyle name="Normal 54 6" xfId="1267"/>
    <cellStyle name="Normal 54 6 2" xfId="3530"/>
    <cellStyle name="Normal 54 6 2 2" xfId="8045"/>
    <cellStyle name="Normal 54 6 2 2 2" xfId="17086"/>
    <cellStyle name="Normal 54 6 2 3" xfId="12573"/>
    <cellStyle name="Normal 54 6 3" xfId="5790"/>
    <cellStyle name="Normal 54 6 3 2" xfId="14831"/>
    <cellStyle name="Normal 54 6 4" xfId="10318"/>
    <cellStyle name="Normal 54 7" xfId="3507"/>
    <cellStyle name="Normal 54 7 2" xfId="8022"/>
    <cellStyle name="Normal 54 7 2 2" xfId="17063"/>
    <cellStyle name="Normal 54 7 3" xfId="12550"/>
    <cellStyle name="Normal 54 8" xfId="4662"/>
    <cellStyle name="Normal 54 8 2" xfId="13703"/>
    <cellStyle name="Normal 54 9" xfId="9190"/>
    <cellStyle name="Normal 55" xfId="55"/>
    <cellStyle name="Normal 55 2" xfId="151"/>
    <cellStyle name="Normal 55 2 2" xfId="380"/>
    <cellStyle name="Normal 55 2 2 2" xfId="944"/>
    <cellStyle name="Normal 55 2 2 2 2" xfId="2114"/>
    <cellStyle name="Normal 55 2 2 2 2 2" xfId="3535"/>
    <cellStyle name="Normal 55 2 2 2 2 2 2" xfId="8050"/>
    <cellStyle name="Normal 55 2 2 2 2 2 2 2" xfId="17091"/>
    <cellStyle name="Normal 55 2 2 2 2 2 3" xfId="12578"/>
    <cellStyle name="Normal 55 2 2 2 2 3" xfId="6637"/>
    <cellStyle name="Normal 55 2 2 2 2 3 2" xfId="15678"/>
    <cellStyle name="Normal 55 2 2 2 2 4" xfId="11165"/>
    <cellStyle name="Normal 55 2 2 2 3" xfId="3534"/>
    <cellStyle name="Normal 55 2 2 2 3 2" xfId="8049"/>
    <cellStyle name="Normal 55 2 2 2 3 2 2" xfId="17090"/>
    <cellStyle name="Normal 55 2 2 2 3 3" xfId="12577"/>
    <cellStyle name="Normal 55 2 2 2 4" xfId="5509"/>
    <cellStyle name="Normal 55 2 2 2 4 2" xfId="14550"/>
    <cellStyle name="Normal 55 2 2 2 5" xfId="10037"/>
    <cellStyle name="Normal 55 2 2 3" xfId="1550"/>
    <cellStyle name="Normal 55 2 2 3 2" xfId="3536"/>
    <cellStyle name="Normal 55 2 2 3 2 2" xfId="8051"/>
    <cellStyle name="Normal 55 2 2 3 2 2 2" xfId="17092"/>
    <cellStyle name="Normal 55 2 2 3 2 3" xfId="12579"/>
    <cellStyle name="Normal 55 2 2 3 3" xfId="6073"/>
    <cellStyle name="Normal 55 2 2 3 3 2" xfId="15114"/>
    <cellStyle name="Normal 55 2 2 3 4" xfId="10601"/>
    <cellStyle name="Normal 55 2 2 4" xfId="3533"/>
    <cellStyle name="Normal 55 2 2 4 2" xfId="8048"/>
    <cellStyle name="Normal 55 2 2 4 2 2" xfId="17089"/>
    <cellStyle name="Normal 55 2 2 4 3" xfId="12576"/>
    <cellStyle name="Normal 55 2 2 5" xfId="4945"/>
    <cellStyle name="Normal 55 2 2 5 2" xfId="13986"/>
    <cellStyle name="Normal 55 2 2 6" xfId="9473"/>
    <cellStyle name="Normal 55 2 3" xfId="568"/>
    <cellStyle name="Normal 55 2 3 2" xfId="1132"/>
    <cellStyle name="Normal 55 2 3 2 2" xfId="2302"/>
    <cellStyle name="Normal 55 2 3 2 2 2" xfId="3539"/>
    <cellStyle name="Normal 55 2 3 2 2 2 2" xfId="8054"/>
    <cellStyle name="Normal 55 2 3 2 2 2 2 2" xfId="17095"/>
    <cellStyle name="Normal 55 2 3 2 2 2 3" xfId="12582"/>
    <cellStyle name="Normal 55 2 3 2 2 3" xfId="6825"/>
    <cellStyle name="Normal 55 2 3 2 2 3 2" xfId="15866"/>
    <cellStyle name="Normal 55 2 3 2 2 4" xfId="11353"/>
    <cellStyle name="Normal 55 2 3 2 3" xfId="3538"/>
    <cellStyle name="Normal 55 2 3 2 3 2" xfId="8053"/>
    <cellStyle name="Normal 55 2 3 2 3 2 2" xfId="17094"/>
    <cellStyle name="Normal 55 2 3 2 3 3" xfId="12581"/>
    <cellStyle name="Normal 55 2 3 2 4" xfId="5697"/>
    <cellStyle name="Normal 55 2 3 2 4 2" xfId="14738"/>
    <cellStyle name="Normal 55 2 3 2 5" xfId="10225"/>
    <cellStyle name="Normal 55 2 3 3" xfId="1738"/>
    <cellStyle name="Normal 55 2 3 3 2" xfId="3540"/>
    <cellStyle name="Normal 55 2 3 3 2 2" xfId="8055"/>
    <cellStyle name="Normal 55 2 3 3 2 2 2" xfId="17096"/>
    <cellStyle name="Normal 55 2 3 3 2 3" xfId="12583"/>
    <cellStyle name="Normal 55 2 3 3 3" xfId="6261"/>
    <cellStyle name="Normal 55 2 3 3 3 2" xfId="15302"/>
    <cellStyle name="Normal 55 2 3 3 4" xfId="10789"/>
    <cellStyle name="Normal 55 2 3 4" xfId="3537"/>
    <cellStyle name="Normal 55 2 3 4 2" xfId="8052"/>
    <cellStyle name="Normal 55 2 3 4 2 2" xfId="17093"/>
    <cellStyle name="Normal 55 2 3 4 3" xfId="12580"/>
    <cellStyle name="Normal 55 2 3 5" xfId="5133"/>
    <cellStyle name="Normal 55 2 3 5 2" xfId="14174"/>
    <cellStyle name="Normal 55 2 3 6" xfId="9661"/>
    <cellStyle name="Normal 55 2 4" xfId="756"/>
    <cellStyle name="Normal 55 2 4 2" xfId="1926"/>
    <cellStyle name="Normal 55 2 4 2 2" xfId="3542"/>
    <cellStyle name="Normal 55 2 4 2 2 2" xfId="8057"/>
    <cellStyle name="Normal 55 2 4 2 2 2 2" xfId="17098"/>
    <cellStyle name="Normal 55 2 4 2 2 3" xfId="12585"/>
    <cellStyle name="Normal 55 2 4 2 3" xfId="6449"/>
    <cellStyle name="Normal 55 2 4 2 3 2" xfId="15490"/>
    <cellStyle name="Normal 55 2 4 2 4" xfId="10977"/>
    <cellStyle name="Normal 55 2 4 3" xfId="3541"/>
    <cellStyle name="Normal 55 2 4 3 2" xfId="8056"/>
    <cellStyle name="Normal 55 2 4 3 2 2" xfId="17097"/>
    <cellStyle name="Normal 55 2 4 3 3" xfId="12584"/>
    <cellStyle name="Normal 55 2 4 4" xfId="5321"/>
    <cellStyle name="Normal 55 2 4 4 2" xfId="14362"/>
    <cellStyle name="Normal 55 2 4 5" xfId="9849"/>
    <cellStyle name="Normal 55 2 5" xfId="1362"/>
    <cellStyle name="Normal 55 2 5 2" xfId="3543"/>
    <cellStyle name="Normal 55 2 5 2 2" xfId="8058"/>
    <cellStyle name="Normal 55 2 5 2 2 2" xfId="17099"/>
    <cellStyle name="Normal 55 2 5 2 3" xfId="12586"/>
    <cellStyle name="Normal 55 2 5 3" xfId="5885"/>
    <cellStyle name="Normal 55 2 5 3 2" xfId="14926"/>
    <cellStyle name="Normal 55 2 5 4" xfId="10413"/>
    <cellStyle name="Normal 55 2 6" xfId="3532"/>
    <cellStyle name="Normal 55 2 6 2" xfId="8047"/>
    <cellStyle name="Normal 55 2 6 2 2" xfId="17088"/>
    <cellStyle name="Normal 55 2 6 3" xfId="12575"/>
    <cellStyle name="Normal 55 2 7" xfId="4757"/>
    <cellStyle name="Normal 55 2 7 2" xfId="13798"/>
    <cellStyle name="Normal 55 2 8" xfId="9285"/>
    <cellStyle name="Normal 55 3" xfId="286"/>
    <cellStyle name="Normal 55 3 2" xfId="850"/>
    <cellStyle name="Normal 55 3 2 2" xfId="2020"/>
    <cellStyle name="Normal 55 3 2 2 2" xfId="3546"/>
    <cellStyle name="Normal 55 3 2 2 2 2" xfId="8061"/>
    <cellStyle name="Normal 55 3 2 2 2 2 2" xfId="17102"/>
    <cellStyle name="Normal 55 3 2 2 2 3" xfId="12589"/>
    <cellStyle name="Normal 55 3 2 2 3" xfId="6543"/>
    <cellStyle name="Normal 55 3 2 2 3 2" xfId="15584"/>
    <cellStyle name="Normal 55 3 2 2 4" xfId="11071"/>
    <cellStyle name="Normal 55 3 2 3" xfId="3545"/>
    <cellStyle name="Normal 55 3 2 3 2" xfId="8060"/>
    <cellStyle name="Normal 55 3 2 3 2 2" xfId="17101"/>
    <cellStyle name="Normal 55 3 2 3 3" xfId="12588"/>
    <cellStyle name="Normal 55 3 2 4" xfId="5415"/>
    <cellStyle name="Normal 55 3 2 4 2" xfId="14456"/>
    <cellStyle name="Normal 55 3 2 5" xfId="9943"/>
    <cellStyle name="Normal 55 3 3" xfId="1456"/>
    <cellStyle name="Normal 55 3 3 2" xfId="3547"/>
    <cellStyle name="Normal 55 3 3 2 2" xfId="8062"/>
    <cellStyle name="Normal 55 3 3 2 2 2" xfId="17103"/>
    <cellStyle name="Normal 55 3 3 2 3" xfId="12590"/>
    <cellStyle name="Normal 55 3 3 3" xfId="5979"/>
    <cellStyle name="Normal 55 3 3 3 2" xfId="15020"/>
    <cellStyle name="Normal 55 3 3 4" xfId="10507"/>
    <cellStyle name="Normal 55 3 4" xfId="3544"/>
    <cellStyle name="Normal 55 3 4 2" xfId="8059"/>
    <cellStyle name="Normal 55 3 4 2 2" xfId="17100"/>
    <cellStyle name="Normal 55 3 4 3" xfId="12587"/>
    <cellStyle name="Normal 55 3 5" xfId="4851"/>
    <cellStyle name="Normal 55 3 5 2" xfId="13892"/>
    <cellStyle name="Normal 55 3 6" xfId="9379"/>
    <cellStyle name="Normal 55 4" xfId="474"/>
    <cellStyle name="Normal 55 4 2" xfId="1038"/>
    <cellStyle name="Normal 55 4 2 2" xfId="2208"/>
    <cellStyle name="Normal 55 4 2 2 2" xfId="3550"/>
    <cellStyle name="Normal 55 4 2 2 2 2" xfId="8065"/>
    <cellStyle name="Normal 55 4 2 2 2 2 2" xfId="17106"/>
    <cellStyle name="Normal 55 4 2 2 2 3" xfId="12593"/>
    <cellStyle name="Normal 55 4 2 2 3" xfId="6731"/>
    <cellStyle name="Normal 55 4 2 2 3 2" xfId="15772"/>
    <cellStyle name="Normal 55 4 2 2 4" xfId="11259"/>
    <cellStyle name="Normal 55 4 2 3" xfId="3549"/>
    <cellStyle name="Normal 55 4 2 3 2" xfId="8064"/>
    <cellStyle name="Normal 55 4 2 3 2 2" xfId="17105"/>
    <cellStyle name="Normal 55 4 2 3 3" xfId="12592"/>
    <cellStyle name="Normal 55 4 2 4" xfId="5603"/>
    <cellStyle name="Normal 55 4 2 4 2" xfId="14644"/>
    <cellStyle name="Normal 55 4 2 5" xfId="10131"/>
    <cellStyle name="Normal 55 4 3" xfId="1644"/>
    <cellStyle name="Normal 55 4 3 2" xfId="3551"/>
    <cellStyle name="Normal 55 4 3 2 2" xfId="8066"/>
    <cellStyle name="Normal 55 4 3 2 2 2" xfId="17107"/>
    <cellStyle name="Normal 55 4 3 2 3" xfId="12594"/>
    <cellStyle name="Normal 55 4 3 3" xfId="6167"/>
    <cellStyle name="Normal 55 4 3 3 2" xfId="15208"/>
    <cellStyle name="Normal 55 4 3 4" xfId="10695"/>
    <cellStyle name="Normal 55 4 4" xfId="3548"/>
    <cellStyle name="Normal 55 4 4 2" xfId="8063"/>
    <cellStyle name="Normal 55 4 4 2 2" xfId="17104"/>
    <cellStyle name="Normal 55 4 4 3" xfId="12591"/>
    <cellStyle name="Normal 55 4 5" xfId="5039"/>
    <cellStyle name="Normal 55 4 5 2" xfId="14080"/>
    <cellStyle name="Normal 55 4 6" xfId="9567"/>
    <cellStyle name="Normal 55 5" xfId="662"/>
    <cellStyle name="Normal 55 5 2" xfId="1832"/>
    <cellStyle name="Normal 55 5 2 2" xfId="3553"/>
    <cellStyle name="Normal 55 5 2 2 2" xfId="8068"/>
    <cellStyle name="Normal 55 5 2 2 2 2" xfId="17109"/>
    <cellStyle name="Normal 55 5 2 2 3" xfId="12596"/>
    <cellStyle name="Normal 55 5 2 3" xfId="6355"/>
    <cellStyle name="Normal 55 5 2 3 2" xfId="15396"/>
    <cellStyle name="Normal 55 5 2 4" xfId="10883"/>
    <cellStyle name="Normal 55 5 3" xfId="3552"/>
    <cellStyle name="Normal 55 5 3 2" xfId="8067"/>
    <cellStyle name="Normal 55 5 3 2 2" xfId="17108"/>
    <cellStyle name="Normal 55 5 3 3" xfId="12595"/>
    <cellStyle name="Normal 55 5 4" xfId="5227"/>
    <cellStyle name="Normal 55 5 4 2" xfId="14268"/>
    <cellStyle name="Normal 55 5 5" xfId="9755"/>
    <cellStyle name="Normal 55 6" xfId="1268"/>
    <cellStyle name="Normal 55 6 2" xfId="3554"/>
    <cellStyle name="Normal 55 6 2 2" xfId="8069"/>
    <cellStyle name="Normal 55 6 2 2 2" xfId="17110"/>
    <cellStyle name="Normal 55 6 2 3" xfId="12597"/>
    <cellStyle name="Normal 55 6 3" xfId="5791"/>
    <cellStyle name="Normal 55 6 3 2" xfId="14832"/>
    <cellStyle name="Normal 55 6 4" xfId="10319"/>
    <cellStyle name="Normal 55 7" xfId="3531"/>
    <cellStyle name="Normal 55 7 2" xfId="8046"/>
    <cellStyle name="Normal 55 7 2 2" xfId="17087"/>
    <cellStyle name="Normal 55 7 3" xfId="12574"/>
    <cellStyle name="Normal 55 8" xfId="4663"/>
    <cellStyle name="Normal 55 8 2" xfId="13704"/>
    <cellStyle name="Normal 55 9" xfId="9191"/>
    <cellStyle name="Normal 56" xfId="56"/>
    <cellStyle name="Normal 56 2" xfId="152"/>
    <cellStyle name="Normal 56 2 2" xfId="381"/>
    <cellStyle name="Normal 56 2 2 2" xfId="945"/>
    <cellStyle name="Normal 56 2 2 2 2" xfId="2115"/>
    <cellStyle name="Normal 56 2 2 2 2 2" xfId="3559"/>
    <cellStyle name="Normal 56 2 2 2 2 2 2" xfId="8074"/>
    <cellStyle name="Normal 56 2 2 2 2 2 2 2" xfId="17115"/>
    <cellStyle name="Normal 56 2 2 2 2 2 3" xfId="12602"/>
    <cellStyle name="Normal 56 2 2 2 2 3" xfId="6638"/>
    <cellStyle name="Normal 56 2 2 2 2 3 2" xfId="15679"/>
    <cellStyle name="Normal 56 2 2 2 2 4" xfId="11166"/>
    <cellStyle name="Normal 56 2 2 2 3" xfId="3558"/>
    <cellStyle name="Normal 56 2 2 2 3 2" xfId="8073"/>
    <cellStyle name="Normal 56 2 2 2 3 2 2" xfId="17114"/>
    <cellStyle name="Normal 56 2 2 2 3 3" xfId="12601"/>
    <cellStyle name="Normal 56 2 2 2 4" xfId="5510"/>
    <cellStyle name="Normal 56 2 2 2 4 2" xfId="14551"/>
    <cellStyle name="Normal 56 2 2 2 5" xfId="10038"/>
    <cellStyle name="Normal 56 2 2 3" xfId="1551"/>
    <cellStyle name="Normal 56 2 2 3 2" xfId="3560"/>
    <cellStyle name="Normal 56 2 2 3 2 2" xfId="8075"/>
    <cellStyle name="Normal 56 2 2 3 2 2 2" xfId="17116"/>
    <cellStyle name="Normal 56 2 2 3 2 3" xfId="12603"/>
    <cellStyle name="Normal 56 2 2 3 3" xfId="6074"/>
    <cellStyle name="Normal 56 2 2 3 3 2" xfId="15115"/>
    <cellStyle name="Normal 56 2 2 3 4" xfId="10602"/>
    <cellStyle name="Normal 56 2 2 4" xfId="3557"/>
    <cellStyle name="Normal 56 2 2 4 2" xfId="8072"/>
    <cellStyle name="Normal 56 2 2 4 2 2" xfId="17113"/>
    <cellStyle name="Normal 56 2 2 4 3" xfId="12600"/>
    <cellStyle name="Normal 56 2 2 5" xfId="4946"/>
    <cellStyle name="Normal 56 2 2 5 2" xfId="13987"/>
    <cellStyle name="Normal 56 2 2 6" xfId="9474"/>
    <cellStyle name="Normal 56 2 3" xfId="569"/>
    <cellStyle name="Normal 56 2 3 2" xfId="1133"/>
    <cellStyle name="Normal 56 2 3 2 2" xfId="2303"/>
    <cellStyle name="Normal 56 2 3 2 2 2" xfId="3563"/>
    <cellStyle name="Normal 56 2 3 2 2 2 2" xfId="8078"/>
    <cellStyle name="Normal 56 2 3 2 2 2 2 2" xfId="17119"/>
    <cellStyle name="Normal 56 2 3 2 2 2 3" xfId="12606"/>
    <cellStyle name="Normal 56 2 3 2 2 3" xfId="6826"/>
    <cellStyle name="Normal 56 2 3 2 2 3 2" xfId="15867"/>
    <cellStyle name="Normal 56 2 3 2 2 4" xfId="11354"/>
    <cellStyle name="Normal 56 2 3 2 3" xfId="3562"/>
    <cellStyle name="Normal 56 2 3 2 3 2" xfId="8077"/>
    <cellStyle name="Normal 56 2 3 2 3 2 2" xfId="17118"/>
    <cellStyle name="Normal 56 2 3 2 3 3" xfId="12605"/>
    <cellStyle name="Normal 56 2 3 2 4" xfId="5698"/>
    <cellStyle name="Normal 56 2 3 2 4 2" xfId="14739"/>
    <cellStyle name="Normal 56 2 3 2 5" xfId="10226"/>
    <cellStyle name="Normal 56 2 3 3" xfId="1739"/>
    <cellStyle name="Normal 56 2 3 3 2" xfId="3564"/>
    <cellStyle name="Normal 56 2 3 3 2 2" xfId="8079"/>
    <cellStyle name="Normal 56 2 3 3 2 2 2" xfId="17120"/>
    <cellStyle name="Normal 56 2 3 3 2 3" xfId="12607"/>
    <cellStyle name="Normal 56 2 3 3 3" xfId="6262"/>
    <cellStyle name="Normal 56 2 3 3 3 2" xfId="15303"/>
    <cellStyle name="Normal 56 2 3 3 4" xfId="10790"/>
    <cellStyle name="Normal 56 2 3 4" xfId="3561"/>
    <cellStyle name="Normal 56 2 3 4 2" xfId="8076"/>
    <cellStyle name="Normal 56 2 3 4 2 2" xfId="17117"/>
    <cellStyle name="Normal 56 2 3 4 3" xfId="12604"/>
    <cellStyle name="Normal 56 2 3 5" xfId="5134"/>
    <cellStyle name="Normal 56 2 3 5 2" xfId="14175"/>
    <cellStyle name="Normal 56 2 3 6" xfId="9662"/>
    <cellStyle name="Normal 56 2 4" xfId="757"/>
    <cellStyle name="Normal 56 2 4 2" xfId="1927"/>
    <cellStyle name="Normal 56 2 4 2 2" xfId="3566"/>
    <cellStyle name="Normal 56 2 4 2 2 2" xfId="8081"/>
    <cellStyle name="Normal 56 2 4 2 2 2 2" xfId="17122"/>
    <cellStyle name="Normal 56 2 4 2 2 3" xfId="12609"/>
    <cellStyle name="Normal 56 2 4 2 3" xfId="6450"/>
    <cellStyle name="Normal 56 2 4 2 3 2" xfId="15491"/>
    <cellStyle name="Normal 56 2 4 2 4" xfId="10978"/>
    <cellStyle name="Normal 56 2 4 3" xfId="3565"/>
    <cellStyle name="Normal 56 2 4 3 2" xfId="8080"/>
    <cellStyle name="Normal 56 2 4 3 2 2" xfId="17121"/>
    <cellStyle name="Normal 56 2 4 3 3" xfId="12608"/>
    <cellStyle name="Normal 56 2 4 4" xfId="5322"/>
    <cellStyle name="Normal 56 2 4 4 2" xfId="14363"/>
    <cellStyle name="Normal 56 2 4 5" xfId="9850"/>
    <cellStyle name="Normal 56 2 5" xfId="1363"/>
    <cellStyle name="Normal 56 2 5 2" xfId="3567"/>
    <cellStyle name="Normal 56 2 5 2 2" xfId="8082"/>
    <cellStyle name="Normal 56 2 5 2 2 2" xfId="17123"/>
    <cellStyle name="Normal 56 2 5 2 3" xfId="12610"/>
    <cellStyle name="Normal 56 2 5 3" xfId="5886"/>
    <cellStyle name="Normal 56 2 5 3 2" xfId="14927"/>
    <cellStyle name="Normal 56 2 5 4" xfId="10414"/>
    <cellStyle name="Normal 56 2 6" xfId="3556"/>
    <cellStyle name="Normal 56 2 6 2" xfId="8071"/>
    <cellStyle name="Normal 56 2 6 2 2" xfId="17112"/>
    <cellStyle name="Normal 56 2 6 3" xfId="12599"/>
    <cellStyle name="Normal 56 2 7" xfId="4758"/>
    <cellStyle name="Normal 56 2 7 2" xfId="13799"/>
    <cellStyle name="Normal 56 2 8" xfId="9286"/>
    <cellStyle name="Normal 56 3" xfId="287"/>
    <cellStyle name="Normal 56 3 2" xfId="851"/>
    <cellStyle name="Normal 56 3 2 2" xfId="2021"/>
    <cellStyle name="Normal 56 3 2 2 2" xfId="3570"/>
    <cellStyle name="Normal 56 3 2 2 2 2" xfId="8085"/>
    <cellStyle name="Normal 56 3 2 2 2 2 2" xfId="17126"/>
    <cellStyle name="Normal 56 3 2 2 2 3" xfId="12613"/>
    <cellStyle name="Normal 56 3 2 2 3" xfId="6544"/>
    <cellStyle name="Normal 56 3 2 2 3 2" xfId="15585"/>
    <cellStyle name="Normal 56 3 2 2 4" xfId="11072"/>
    <cellStyle name="Normal 56 3 2 3" xfId="3569"/>
    <cellStyle name="Normal 56 3 2 3 2" xfId="8084"/>
    <cellStyle name="Normal 56 3 2 3 2 2" xfId="17125"/>
    <cellStyle name="Normal 56 3 2 3 3" xfId="12612"/>
    <cellStyle name="Normal 56 3 2 4" xfId="5416"/>
    <cellStyle name="Normal 56 3 2 4 2" xfId="14457"/>
    <cellStyle name="Normal 56 3 2 5" xfId="9944"/>
    <cellStyle name="Normal 56 3 3" xfId="1457"/>
    <cellStyle name="Normal 56 3 3 2" xfId="3571"/>
    <cellStyle name="Normal 56 3 3 2 2" xfId="8086"/>
    <cellStyle name="Normal 56 3 3 2 2 2" xfId="17127"/>
    <cellStyle name="Normal 56 3 3 2 3" xfId="12614"/>
    <cellStyle name="Normal 56 3 3 3" xfId="5980"/>
    <cellStyle name="Normal 56 3 3 3 2" xfId="15021"/>
    <cellStyle name="Normal 56 3 3 4" xfId="10508"/>
    <cellStyle name="Normal 56 3 4" xfId="3568"/>
    <cellStyle name="Normal 56 3 4 2" xfId="8083"/>
    <cellStyle name="Normal 56 3 4 2 2" xfId="17124"/>
    <cellStyle name="Normal 56 3 4 3" xfId="12611"/>
    <cellStyle name="Normal 56 3 5" xfId="4852"/>
    <cellStyle name="Normal 56 3 5 2" xfId="13893"/>
    <cellStyle name="Normal 56 3 6" xfId="9380"/>
    <cellStyle name="Normal 56 4" xfId="475"/>
    <cellStyle name="Normal 56 4 2" xfId="1039"/>
    <cellStyle name="Normal 56 4 2 2" xfId="2209"/>
    <cellStyle name="Normal 56 4 2 2 2" xfId="3574"/>
    <cellStyle name="Normal 56 4 2 2 2 2" xfId="8089"/>
    <cellStyle name="Normal 56 4 2 2 2 2 2" xfId="17130"/>
    <cellStyle name="Normal 56 4 2 2 2 3" xfId="12617"/>
    <cellStyle name="Normal 56 4 2 2 3" xfId="6732"/>
    <cellStyle name="Normal 56 4 2 2 3 2" xfId="15773"/>
    <cellStyle name="Normal 56 4 2 2 4" xfId="11260"/>
    <cellStyle name="Normal 56 4 2 3" xfId="3573"/>
    <cellStyle name="Normal 56 4 2 3 2" xfId="8088"/>
    <cellStyle name="Normal 56 4 2 3 2 2" xfId="17129"/>
    <cellStyle name="Normal 56 4 2 3 3" xfId="12616"/>
    <cellStyle name="Normal 56 4 2 4" xfId="5604"/>
    <cellStyle name="Normal 56 4 2 4 2" xfId="14645"/>
    <cellStyle name="Normal 56 4 2 5" xfId="10132"/>
    <cellStyle name="Normal 56 4 3" xfId="1645"/>
    <cellStyle name="Normal 56 4 3 2" xfId="3575"/>
    <cellStyle name="Normal 56 4 3 2 2" xfId="8090"/>
    <cellStyle name="Normal 56 4 3 2 2 2" xfId="17131"/>
    <cellStyle name="Normal 56 4 3 2 3" xfId="12618"/>
    <cellStyle name="Normal 56 4 3 3" xfId="6168"/>
    <cellStyle name="Normal 56 4 3 3 2" xfId="15209"/>
    <cellStyle name="Normal 56 4 3 4" xfId="10696"/>
    <cellStyle name="Normal 56 4 4" xfId="3572"/>
    <cellStyle name="Normal 56 4 4 2" xfId="8087"/>
    <cellStyle name="Normal 56 4 4 2 2" xfId="17128"/>
    <cellStyle name="Normal 56 4 4 3" xfId="12615"/>
    <cellStyle name="Normal 56 4 5" xfId="5040"/>
    <cellStyle name="Normal 56 4 5 2" xfId="14081"/>
    <cellStyle name="Normal 56 4 6" xfId="9568"/>
    <cellStyle name="Normal 56 5" xfId="663"/>
    <cellStyle name="Normal 56 5 2" xfId="1833"/>
    <cellStyle name="Normal 56 5 2 2" xfId="3577"/>
    <cellStyle name="Normal 56 5 2 2 2" xfId="8092"/>
    <cellStyle name="Normal 56 5 2 2 2 2" xfId="17133"/>
    <cellStyle name="Normal 56 5 2 2 3" xfId="12620"/>
    <cellStyle name="Normal 56 5 2 3" xfId="6356"/>
    <cellStyle name="Normal 56 5 2 3 2" xfId="15397"/>
    <cellStyle name="Normal 56 5 2 4" xfId="10884"/>
    <cellStyle name="Normal 56 5 3" xfId="3576"/>
    <cellStyle name="Normal 56 5 3 2" xfId="8091"/>
    <cellStyle name="Normal 56 5 3 2 2" xfId="17132"/>
    <cellStyle name="Normal 56 5 3 3" xfId="12619"/>
    <cellStyle name="Normal 56 5 4" xfId="5228"/>
    <cellStyle name="Normal 56 5 4 2" xfId="14269"/>
    <cellStyle name="Normal 56 5 5" xfId="9756"/>
    <cellStyle name="Normal 56 6" xfId="1269"/>
    <cellStyle name="Normal 56 6 2" xfId="3578"/>
    <cellStyle name="Normal 56 6 2 2" xfId="8093"/>
    <cellStyle name="Normal 56 6 2 2 2" xfId="17134"/>
    <cellStyle name="Normal 56 6 2 3" xfId="12621"/>
    <cellStyle name="Normal 56 6 3" xfId="5792"/>
    <cellStyle name="Normal 56 6 3 2" xfId="14833"/>
    <cellStyle name="Normal 56 6 4" xfId="10320"/>
    <cellStyle name="Normal 56 7" xfId="3555"/>
    <cellStyle name="Normal 56 7 2" xfId="8070"/>
    <cellStyle name="Normal 56 7 2 2" xfId="17111"/>
    <cellStyle name="Normal 56 7 3" xfId="12598"/>
    <cellStyle name="Normal 56 8" xfId="4664"/>
    <cellStyle name="Normal 56 8 2" xfId="13705"/>
    <cellStyle name="Normal 56 9" xfId="9192"/>
    <cellStyle name="Normal 57" xfId="57"/>
    <cellStyle name="Normal 57 2" xfId="153"/>
    <cellStyle name="Normal 57 2 2" xfId="382"/>
    <cellStyle name="Normal 57 2 2 2" xfId="946"/>
    <cellStyle name="Normal 57 2 2 2 2" xfId="2116"/>
    <cellStyle name="Normal 57 2 2 2 2 2" xfId="3583"/>
    <cellStyle name="Normal 57 2 2 2 2 2 2" xfId="8098"/>
    <cellStyle name="Normal 57 2 2 2 2 2 2 2" xfId="17139"/>
    <cellStyle name="Normal 57 2 2 2 2 2 3" xfId="12626"/>
    <cellStyle name="Normal 57 2 2 2 2 3" xfId="6639"/>
    <cellStyle name="Normal 57 2 2 2 2 3 2" xfId="15680"/>
    <cellStyle name="Normal 57 2 2 2 2 4" xfId="11167"/>
    <cellStyle name="Normal 57 2 2 2 3" xfId="3582"/>
    <cellStyle name="Normal 57 2 2 2 3 2" xfId="8097"/>
    <cellStyle name="Normal 57 2 2 2 3 2 2" xfId="17138"/>
    <cellStyle name="Normal 57 2 2 2 3 3" xfId="12625"/>
    <cellStyle name="Normal 57 2 2 2 4" xfId="5511"/>
    <cellStyle name="Normal 57 2 2 2 4 2" xfId="14552"/>
    <cellStyle name="Normal 57 2 2 2 5" xfId="10039"/>
    <cellStyle name="Normal 57 2 2 3" xfId="1552"/>
    <cellStyle name="Normal 57 2 2 3 2" xfId="3584"/>
    <cellStyle name="Normal 57 2 2 3 2 2" xfId="8099"/>
    <cellStyle name="Normal 57 2 2 3 2 2 2" xfId="17140"/>
    <cellStyle name="Normal 57 2 2 3 2 3" xfId="12627"/>
    <cellStyle name="Normal 57 2 2 3 3" xfId="6075"/>
    <cellStyle name="Normal 57 2 2 3 3 2" xfId="15116"/>
    <cellStyle name="Normal 57 2 2 3 4" xfId="10603"/>
    <cellStyle name="Normal 57 2 2 4" xfId="3581"/>
    <cellStyle name="Normal 57 2 2 4 2" xfId="8096"/>
    <cellStyle name="Normal 57 2 2 4 2 2" xfId="17137"/>
    <cellStyle name="Normal 57 2 2 4 3" xfId="12624"/>
    <cellStyle name="Normal 57 2 2 5" xfId="4947"/>
    <cellStyle name="Normal 57 2 2 5 2" xfId="13988"/>
    <cellStyle name="Normal 57 2 2 6" xfId="9475"/>
    <cellStyle name="Normal 57 2 3" xfId="570"/>
    <cellStyle name="Normal 57 2 3 2" xfId="1134"/>
    <cellStyle name="Normal 57 2 3 2 2" xfId="2304"/>
    <cellStyle name="Normal 57 2 3 2 2 2" xfId="3587"/>
    <cellStyle name="Normal 57 2 3 2 2 2 2" xfId="8102"/>
    <cellStyle name="Normal 57 2 3 2 2 2 2 2" xfId="17143"/>
    <cellStyle name="Normal 57 2 3 2 2 2 3" xfId="12630"/>
    <cellStyle name="Normal 57 2 3 2 2 3" xfId="6827"/>
    <cellStyle name="Normal 57 2 3 2 2 3 2" xfId="15868"/>
    <cellStyle name="Normal 57 2 3 2 2 4" xfId="11355"/>
    <cellStyle name="Normal 57 2 3 2 3" xfId="3586"/>
    <cellStyle name="Normal 57 2 3 2 3 2" xfId="8101"/>
    <cellStyle name="Normal 57 2 3 2 3 2 2" xfId="17142"/>
    <cellStyle name="Normal 57 2 3 2 3 3" xfId="12629"/>
    <cellStyle name="Normal 57 2 3 2 4" xfId="5699"/>
    <cellStyle name="Normal 57 2 3 2 4 2" xfId="14740"/>
    <cellStyle name="Normal 57 2 3 2 5" xfId="10227"/>
    <cellStyle name="Normal 57 2 3 3" xfId="1740"/>
    <cellStyle name="Normal 57 2 3 3 2" xfId="3588"/>
    <cellStyle name="Normal 57 2 3 3 2 2" xfId="8103"/>
    <cellStyle name="Normal 57 2 3 3 2 2 2" xfId="17144"/>
    <cellStyle name="Normal 57 2 3 3 2 3" xfId="12631"/>
    <cellStyle name="Normal 57 2 3 3 3" xfId="6263"/>
    <cellStyle name="Normal 57 2 3 3 3 2" xfId="15304"/>
    <cellStyle name="Normal 57 2 3 3 4" xfId="10791"/>
    <cellStyle name="Normal 57 2 3 4" xfId="3585"/>
    <cellStyle name="Normal 57 2 3 4 2" xfId="8100"/>
    <cellStyle name="Normal 57 2 3 4 2 2" xfId="17141"/>
    <cellStyle name="Normal 57 2 3 4 3" xfId="12628"/>
    <cellStyle name="Normal 57 2 3 5" xfId="5135"/>
    <cellStyle name="Normal 57 2 3 5 2" xfId="14176"/>
    <cellStyle name="Normal 57 2 3 6" xfId="9663"/>
    <cellStyle name="Normal 57 2 4" xfId="758"/>
    <cellStyle name="Normal 57 2 4 2" xfId="1928"/>
    <cellStyle name="Normal 57 2 4 2 2" xfId="3590"/>
    <cellStyle name="Normal 57 2 4 2 2 2" xfId="8105"/>
    <cellStyle name="Normal 57 2 4 2 2 2 2" xfId="17146"/>
    <cellStyle name="Normal 57 2 4 2 2 3" xfId="12633"/>
    <cellStyle name="Normal 57 2 4 2 3" xfId="6451"/>
    <cellStyle name="Normal 57 2 4 2 3 2" xfId="15492"/>
    <cellStyle name="Normal 57 2 4 2 4" xfId="10979"/>
    <cellStyle name="Normal 57 2 4 3" xfId="3589"/>
    <cellStyle name="Normal 57 2 4 3 2" xfId="8104"/>
    <cellStyle name="Normal 57 2 4 3 2 2" xfId="17145"/>
    <cellStyle name="Normal 57 2 4 3 3" xfId="12632"/>
    <cellStyle name="Normal 57 2 4 4" xfId="5323"/>
    <cellStyle name="Normal 57 2 4 4 2" xfId="14364"/>
    <cellStyle name="Normal 57 2 4 5" xfId="9851"/>
    <cellStyle name="Normal 57 2 5" xfId="1364"/>
    <cellStyle name="Normal 57 2 5 2" xfId="3591"/>
    <cellStyle name="Normal 57 2 5 2 2" xfId="8106"/>
    <cellStyle name="Normal 57 2 5 2 2 2" xfId="17147"/>
    <cellStyle name="Normal 57 2 5 2 3" xfId="12634"/>
    <cellStyle name="Normal 57 2 5 3" xfId="5887"/>
    <cellStyle name="Normal 57 2 5 3 2" xfId="14928"/>
    <cellStyle name="Normal 57 2 5 4" xfId="10415"/>
    <cellStyle name="Normal 57 2 6" xfId="3580"/>
    <cellStyle name="Normal 57 2 6 2" xfId="8095"/>
    <cellStyle name="Normal 57 2 6 2 2" xfId="17136"/>
    <cellStyle name="Normal 57 2 6 3" xfId="12623"/>
    <cellStyle name="Normal 57 2 7" xfId="4759"/>
    <cellStyle name="Normal 57 2 7 2" xfId="13800"/>
    <cellStyle name="Normal 57 2 8" xfId="9287"/>
    <cellStyle name="Normal 57 3" xfId="288"/>
    <cellStyle name="Normal 57 3 2" xfId="852"/>
    <cellStyle name="Normal 57 3 2 2" xfId="2022"/>
    <cellStyle name="Normal 57 3 2 2 2" xfId="3594"/>
    <cellStyle name="Normal 57 3 2 2 2 2" xfId="8109"/>
    <cellStyle name="Normal 57 3 2 2 2 2 2" xfId="17150"/>
    <cellStyle name="Normal 57 3 2 2 2 3" xfId="12637"/>
    <cellStyle name="Normal 57 3 2 2 3" xfId="6545"/>
    <cellStyle name="Normal 57 3 2 2 3 2" xfId="15586"/>
    <cellStyle name="Normal 57 3 2 2 4" xfId="11073"/>
    <cellStyle name="Normal 57 3 2 3" xfId="3593"/>
    <cellStyle name="Normal 57 3 2 3 2" xfId="8108"/>
    <cellStyle name="Normal 57 3 2 3 2 2" xfId="17149"/>
    <cellStyle name="Normal 57 3 2 3 3" xfId="12636"/>
    <cellStyle name="Normal 57 3 2 4" xfId="5417"/>
    <cellStyle name="Normal 57 3 2 4 2" xfId="14458"/>
    <cellStyle name="Normal 57 3 2 5" xfId="9945"/>
    <cellStyle name="Normal 57 3 3" xfId="1458"/>
    <cellStyle name="Normal 57 3 3 2" xfId="3595"/>
    <cellStyle name="Normal 57 3 3 2 2" xfId="8110"/>
    <cellStyle name="Normal 57 3 3 2 2 2" xfId="17151"/>
    <cellStyle name="Normal 57 3 3 2 3" xfId="12638"/>
    <cellStyle name="Normal 57 3 3 3" xfId="5981"/>
    <cellStyle name="Normal 57 3 3 3 2" xfId="15022"/>
    <cellStyle name="Normal 57 3 3 4" xfId="10509"/>
    <cellStyle name="Normal 57 3 4" xfId="3592"/>
    <cellStyle name="Normal 57 3 4 2" xfId="8107"/>
    <cellStyle name="Normal 57 3 4 2 2" xfId="17148"/>
    <cellStyle name="Normal 57 3 4 3" xfId="12635"/>
    <cellStyle name="Normal 57 3 5" xfId="4853"/>
    <cellStyle name="Normal 57 3 5 2" xfId="13894"/>
    <cellStyle name="Normal 57 3 6" xfId="9381"/>
    <cellStyle name="Normal 57 4" xfId="476"/>
    <cellStyle name="Normal 57 4 2" xfId="1040"/>
    <cellStyle name="Normal 57 4 2 2" xfId="2210"/>
    <cellStyle name="Normal 57 4 2 2 2" xfId="3598"/>
    <cellStyle name="Normal 57 4 2 2 2 2" xfId="8113"/>
    <cellStyle name="Normal 57 4 2 2 2 2 2" xfId="17154"/>
    <cellStyle name="Normal 57 4 2 2 2 3" xfId="12641"/>
    <cellStyle name="Normal 57 4 2 2 3" xfId="6733"/>
    <cellStyle name="Normal 57 4 2 2 3 2" xfId="15774"/>
    <cellStyle name="Normal 57 4 2 2 4" xfId="11261"/>
    <cellStyle name="Normal 57 4 2 3" xfId="3597"/>
    <cellStyle name="Normal 57 4 2 3 2" xfId="8112"/>
    <cellStyle name="Normal 57 4 2 3 2 2" xfId="17153"/>
    <cellStyle name="Normal 57 4 2 3 3" xfId="12640"/>
    <cellStyle name="Normal 57 4 2 4" xfId="5605"/>
    <cellStyle name="Normal 57 4 2 4 2" xfId="14646"/>
    <cellStyle name="Normal 57 4 2 5" xfId="10133"/>
    <cellStyle name="Normal 57 4 3" xfId="1646"/>
    <cellStyle name="Normal 57 4 3 2" xfId="3599"/>
    <cellStyle name="Normal 57 4 3 2 2" xfId="8114"/>
    <cellStyle name="Normal 57 4 3 2 2 2" xfId="17155"/>
    <cellStyle name="Normal 57 4 3 2 3" xfId="12642"/>
    <cellStyle name="Normal 57 4 3 3" xfId="6169"/>
    <cellStyle name="Normal 57 4 3 3 2" xfId="15210"/>
    <cellStyle name="Normal 57 4 3 4" xfId="10697"/>
    <cellStyle name="Normal 57 4 4" xfId="3596"/>
    <cellStyle name="Normal 57 4 4 2" xfId="8111"/>
    <cellStyle name="Normal 57 4 4 2 2" xfId="17152"/>
    <cellStyle name="Normal 57 4 4 3" xfId="12639"/>
    <cellStyle name="Normal 57 4 5" xfId="5041"/>
    <cellStyle name="Normal 57 4 5 2" xfId="14082"/>
    <cellStyle name="Normal 57 4 6" xfId="9569"/>
    <cellStyle name="Normal 57 5" xfId="664"/>
    <cellStyle name="Normal 57 5 2" xfId="1834"/>
    <cellStyle name="Normal 57 5 2 2" xfId="3601"/>
    <cellStyle name="Normal 57 5 2 2 2" xfId="8116"/>
    <cellStyle name="Normal 57 5 2 2 2 2" xfId="17157"/>
    <cellStyle name="Normal 57 5 2 2 3" xfId="12644"/>
    <cellStyle name="Normal 57 5 2 3" xfId="6357"/>
    <cellStyle name="Normal 57 5 2 3 2" xfId="15398"/>
    <cellStyle name="Normal 57 5 2 4" xfId="10885"/>
    <cellStyle name="Normal 57 5 3" xfId="3600"/>
    <cellStyle name="Normal 57 5 3 2" xfId="8115"/>
    <cellStyle name="Normal 57 5 3 2 2" xfId="17156"/>
    <cellStyle name="Normal 57 5 3 3" xfId="12643"/>
    <cellStyle name="Normal 57 5 4" xfId="5229"/>
    <cellStyle name="Normal 57 5 4 2" xfId="14270"/>
    <cellStyle name="Normal 57 5 5" xfId="9757"/>
    <cellStyle name="Normal 57 6" xfId="1270"/>
    <cellStyle name="Normal 57 6 2" xfId="3602"/>
    <cellStyle name="Normal 57 6 2 2" xfId="8117"/>
    <cellStyle name="Normal 57 6 2 2 2" xfId="17158"/>
    <cellStyle name="Normal 57 6 2 3" xfId="12645"/>
    <cellStyle name="Normal 57 6 3" xfId="5793"/>
    <cellStyle name="Normal 57 6 3 2" xfId="14834"/>
    <cellStyle name="Normal 57 6 4" xfId="10321"/>
    <cellStyle name="Normal 57 7" xfId="3579"/>
    <cellStyle name="Normal 57 7 2" xfId="8094"/>
    <cellStyle name="Normal 57 7 2 2" xfId="17135"/>
    <cellStyle name="Normal 57 7 3" xfId="12622"/>
    <cellStyle name="Normal 57 8" xfId="4665"/>
    <cellStyle name="Normal 57 8 2" xfId="13706"/>
    <cellStyle name="Normal 57 9" xfId="9193"/>
    <cellStyle name="Normal 58" xfId="58"/>
    <cellStyle name="Normal 58 2" xfId="154"/>
    <cellStyle name="Normal 58 2 2" xfId="383"/>
    <cellStyle name="Normal 58 2 2 2" xfId="947"/>
    <cellStyle name="Normal 58 2 2 2 2" xfId="2117"/>
    <cellStyle name="Normal 58 2 2 2 2 2" xfId="3607"/>
    <cellStyle name="Normal 58 2 2 2 2 2 2" xfId="8122"/>
    <cellStyle name="Normal 58 2 2 2 2 2 2 2" xfId="17163"/>
    <cellStyle name="Normal 58 2 2 2 2 2 3" xfId="12650"/>
    <cellStyle name="Normal 58 2 2 2 2 3" xfId="6640"/>
    <cellStyle name="Normal 58 2 2 2 2 3 2" xfId="15681"/>
    <cellStyle name="Normal 58 2 2 2 2 4" xfId="11168"/>
    <cellStyle name="Normal 58 2 2 2 3" xfId="3606"/>
    <cellStyle name="Normal 58 2 2 2 3 2" xfId="8121"/>
    <cellStyle name="Normal 58 2 2 2 3 2 2" xfId="17162"/>
    <cellStyle name="Normal 58 2 2 2 3 3" xfId="12649"/>
    <cellStyle name="Normal 58 2 2 2 4" xfId="5512"/>
    <cellStyle name="Normal 58 2 2 2 4 2" xfId="14553"/>
    <cellStyle name="Normal 58 2 2 2 5" xfId="10040"/>
    <cellStyle name="Normal 58 2 2 3" xfId="1553"/>
    <cellStyle name="Normal 58 2 2 3 2" xfId="3608"/>
    <cellStyle name="Normal 58 2 2 3 2 2" xfId="8123"/>
    <cellStyle name="Normal 58 2 2 3 2 2 2" xfId="17164"/>
    <cellStyle name="Normal 58 2 2 3 2 3" xfId="12651"/>
    <cellStyle name="Normal 58 2 2 3 3" xfId="6076"/>
    <cellStyle name="Normal 58 2 2 3 3 2" xfId="15117"/>
    <cellStyle name="Normal 58 2 2 3 4" xfId="10604"/>
    <cellStyle name="Normal 58 2 2 4" xfId="3605"/>
    <cellStyle name="Normal 58 2 2 4 2" xfId="8120"/>
    <cellStyle name="Normal 58 2 2 4 2 2" xfId="17161"/>
    <cellStyle name="Normal 58 2 2 4 3" xfId="12648"/>
    <cellStyle name="Normal 58 2 2 5" xfId="4948"/>
    <cellStyle name="Normal 58 2 2 5 2" xfId="13989"/>
    <cellStyle name="Normal 58 2 2 6" xfId="9476"/>
    <cellStyle name="Normal 58 2 3" xfId="571"/>
    <cellStyle name="Normal 58 2 3 2" xfId="1135"/>
    <cellStyle name="Normal 58 2 3 2 2" xfId="2305"/>
    <cellStyle name="Normal 58 2 3 2 2 2" xfId="3611"/>
    <cellStyle name="Normal 58 2 3 2 2 2 2" xfId="8126"/>
    <cellStyle name="Normal 58 2 3 2 2 2 2 2" xfId="17167"/>
    <cellStyle name="Normal 58 2 3 2 2 2 3" xfId="12654"/>
    <cellStyle name="Normal 58 2 3 2 2 3" xfId="6828"/>
    <cellStyle name="Normal 58 2 3 2 2 3 2" xfId="15869"/>
    <cellStyle name="Normal 58 2 3 2 2 4" xfId="11356"/>
    <cellStyle name="Normal 58 2 3 2 3" xfId="3610"/>
    <cellStyle name="Normal 58 2 3 2 3 2" xfId="8125"/>
    <cellStyle name="Normal 58 2 3 2 3 2 2" xfId="17166"/>
    <cellStyle name="Normal 58 2 3 2 3 3" xfId="12653"/>
    <cellStyle name="Normal 58 2 3 2 4" xfId="5700"/>
    <cellStyle name="Normal 58 2 3 2 4 2" xfId="14741"/>
    <cellStyle name="Normal 58 2 3 2 5" xfId="10228"/>
    <cellStyle name="Normal 58 2 3 3" xfId="1741"/>
    <cellStyle name="Normal 58 2 3 3 2" xfId="3612"/>
    <cellStyle name="Normal 58 2 3 3 2 2" xfId="8127"/>
    <cellStyle name="Normal 58 2 3 3 2 2 2" xfId="17168"/>
    <cellStyle name="Normal 58 2 3 3 2 3" xfId="12655"/>
    <cellStyle name="Normal 58 2 3 3 3" xfId="6264"/>
    <cellStyle name="Normal 58 2 3 3 3 2" xfId="15305"/>
    <cellStyle name="Normal 58 2 3 3 4" xfId="10792"/>
    <cellStyle name="Normal 58 2 3 4" xfId="3609"/>
    <cellStyle name="Normal 58 2 3 4 2" xfId="8124"/>
    <cellStyle name="Normal 58 2 3 4 2 2" xfId="17165"/>
    <cellStyle name="Normal 58 2 3 4 3" xfId="12652"/>
    <cellStyle name="Normal 58 2 3 5" xfId="5136"/>
    <cellStyle name="Normal 58 2 3 5 2" xfId="14177"/>
    <cellStyle name="Normal 58 2 3 6" xfId="9664"/>
    <cellStyle name="Normal 58 2 4" xfId="759"/>
    <cellStyle name="Normal 58 2 4 2" xfId="1929"/>
    <cellStyle name="Normal 58 2 4 2 2" xfId="3614"/>
    <cellStyle name="Normal 58 2 4 2 2 2" xfId="8129"/>
    <cellStyle name="Normal 58 2 4 2 2 2 2" xfId="17170"/>
    <cellStyle name="Normal 58 2 4 2 2 3" xfId="12657"/>
    <cellStyle name="Normal 58 2 4 2 3" xfId="6452"/>
    <cellStyle name="Normal 58 2 4 2 3 2" xfId="15493"/>
    <cellStyle name="Normal 58 2 4 2 4" xfId="10980"/>
    <cellStyle name="Normal 58 2 4 3" xfId="3613"/>
    <cellStyle name="Normal 58 2 4 3 2" xfId="8128"/>
    <cellStyle name="Normal 58 2 4 3 2 2" xfId="17169"/>
    <cellStyle name="Normal 58 2 4 3 3" xfId="12656"/>
    <cellStyle name="Normal 58 2 4 4" xfId="5324"/>
    <cellStyle name="Normal 58 2 4 4 2" xfId="14365"/>
    <cellStyle name="Normal 58 2 4 5" xfId="9852"/>
    <cellStyle name="Normal 58 2 5" xfId="1365"/>
    <cellStyle name="Normal 58 2 5 2" xfId="3615"/>
    <cellStyle name="Normal 58 2 5 2 2" xfId="8130"/>
    <cellStyle name="Normal 58 2 5 2 2 2" xfId="17171"/>
    <cellStyle name="Normal 58 2 5 2 3" xfId="12658"/>
    <cellStyle name="Normal 58 2 5 3" xfId="5888"/>
    <cellStyle name="Normal 58 2 5 3 2" xfId="14929"/>
    <cellStyle name="Normal 58 2 5 4" xfId="10416"/>
    <cellStyle name="Normal 58 2 6" xfId="3604"/>
    <cellStyle name="Normal 58 2 6 2" xfId="8119"/>
    <cellStyle name="Normal 58 2 6 2 2" xfId="17160"/>
    <cellStyle name="Normal 58 2 6 3" xfId="12647"/>
    <cellStyle name="Normal 58 2 7" xfId="4760"/>
    <cellStyle name="Normal 58 2 7 2" xfId="13801"/>
    <cellStyle name="Normal 58 2 8" xfId="9288"/>
    <cellStyle name="Normal 58 3" xfId="289"/>
    <cellStyle name="Normal 58 3 2" xfId="853"/>
    <cellStyle name="Normal 58 3 2 2" xfId="2023"/>
    <cellStyle name="Normal 58 3 2 2 2" xfId="3618"/>
    <cellStyle name="Normal 58 3 2 2 2 2" xfId="8133"/>
    <cellStyle name="Normal 58 3 2 2 2 2 2" xfId="17174"/>
    <cellStyle name="Normal 58 3 2 2 2 3" xfId="12661"/>
    <cellStyle name="Normal 58 3 2 2 3" xfId="6546"/>
    <cellStyle name="Normal 58 3 2 2 3 2" xfId="15587"/>
    <cellStyle name="Normal 58 3 2 2 4" xfId="11074"/>
    <cellStyle name="Normal 58 3 2 3" xfId="3617"/>
    <cellStyle name="Normal 58 3 2 3 2" xfId="8132"/>
    <cellStyle name="Normal 58 3 2 3 2 2" xfId="17173"/>
    <cellStyle name="Normal 58 3 2 3 3" xfId="12660"/>
    <cellStyle name="Normal 58 3 2 4" xfId="5418"/>
    <cellStyle name="Normal 58 3 2 4 2" xfId="14459"/>
    <cellStyle name="Normal 58 3 2 5" xfId="9946"/>
    <cellStyle name="Normal 58 3 3" xfId="1459"/>
    <cellStyle name="Normal 58 3 3 2" xfId="3619"/>
    <cellStyle name="Normal 58 3 3 2 2" xfId="8134"/>
    <cellStyle name="Normal 58 3 3 2 2 2" xfId="17175"/>
    <cellStyle name="Normal 58 3 3 2 3" xfId="12662"/>
    <cellStyle name="Normal 58 3 3 3" xfId="5982"/>
    <cellStyle name="Normal 58 3 3 3 2" xfId="15023"/>
    <cellStyle name="Normal 58 3 3 4" xfId="10510"/>
    <cellStyle name="Normal 58 3 4" xfId="3616"/>
    <cellStyle name="Normal 58 3 4 2" xfId="8131"/>
    <cellStyle name="Normal 58 3 4 2 2" xfId="17172"/>
    <cellStyle name="Normal 58 3 4 3" xfId="12659"/>
    <cellStyle name="Normal 58 3 5" xfId="4854"/>
    <cellStyle name="Normal 58 3 5 2" xfId="13895"/>
    <cellStyle name="Normal 58 3 6" xfId="9382"/>
    <cellStyle name="Normal 58 4" xfId="477"/>
    <cellStyle name="Normal 58 4 2" xfId="1041"/>
    <cellStyle name="Normal 58 4 2 2" xfId="2211"/>
    <cellStyle name="Normal 58 4 2 2 2" xfId="3622"/>
    <cellStyle name="Normal 58 4 2 2 2 2" xfId="8137"/>
    <cellStyle name="Normal 58 4 2 2 2 2 2" xfId="17178"/>
    <cellStyle name="Normal 58 4 2 2 2 3" xfId="12665"/>
    <cellStyle name="Normal 58 4 2 2 3" xfId="6734"/>
    <cellStyle name="Normal 58 4 2 2 3 2" xfId="15775"/>
    <cellStyle name="Normal 58 4 2 2 4" xfId="11262"/>
    <cellStyle name="Normal 58 4 2 3" xfId="3621"/>
    <cellStyle name="Normal 58 4 2 3 2" xfId="8136"/>
    <cellStyle name="Normal 58 4 2 3 2 2" xfId="17177"/>
    <cellStyle name="Normal 58 4 2 3 3" xfId="12664"/>
    <cellStyle name="Normal 58 4 2 4" xfId="5606"/>
    <cellStyle name="Normal 58 4 2 4 2" xfId="14647"/>
    <cellStyle name="Normal 58 4 2 5" xfId="10134"/>
    <cellStyle name="Normal 58 4 3" xfId="1647"/>
    <cellStyle name="Normal 58 4 3 2" xfId="3623"/>
    <cellStyle name="Normal 58 4 3 2 2" xfId="8138"/>
    <cellStyle name="Normal 58 4 3 2 2 2" xfId="17179"/>
    <cellStyle name="Normal 58 4 3 2 3" xfId="12666"/>
    <cellStyle name="Normal 58 4 3 3" xfId="6170"/>
    <cellStyle name="Normal 58 4 3 3 2" xfId="15211"/>
    <cellStyle name="Normal 58 4 3 4" xfId="10698"/>
    <cellStyle name="Normal 58 4 4" xfId="3620"/>
    <cellStyle name="Normal 58 4 4 2" xfId="8135"/>
    <cellStyle name="Normal 58 4 4 2 2" xfId="17176"/>
    <cellStyle name="Normal 58 4 4 3" xfId="12663"/>
    <cellStyle name="Normal 58 4 5" xfId="5042"/>
    <cellStyle name="Normal 58 4 5 2" xfId="14083"/>
    <cellStyle name="Normal 58 4 6" xfId="9570"/>
    <cellStyle name="Normal 58 5" xfId="665"/>
    <cellStyle name="Normal 58 5 2" xfId="1835"/>
    <cellStyle name="Normal 58 5 2 2" xfId="3625"/>
    <cellStyle name="Normal 58 5 2 2 2" xfId="8140"/>
    <cellStyle name="Normal 58 5 2 2 2 2" xfId="17181"/>
    <cellStyle name="Normal 58 5 2 2 3" xfId="12668"/>
    <cellStyle name="Normal 58 5 2 3" xfId="6358"/>
    <cellStyle name="Normal 58 5 2 3 2" xfId="15399"/>
    <cellStyle name="Normal 58 5 2 4" xfId="10886"/>
    <cellStyle name="Normal 58 5 3" xfId="3624"/>
    <cellStyle name="Normal 58 5 3 2" xfId="8139"/>
    <cellStyle name="Normal 58 5 3 2 2" xfId="17180"/>
    <cellStyle name="Normal 58 5 3 3" xfId="12667"/>
    <cellStyle name="Normal 58 5 4" xfId="5230"/>
    <cellStyle name="Normal 58 5 4 2" xfId="14271"/>
    <cellStyle name="Normal 58 5 5" xfId="9758"/>
    <cellStyle name="Normal 58 6" xfId="1271"/>
    <cellStyle name="Normal 58 6 2" xfId="3626"/>
    <cellStyle name="Normal 58 6 2 2" xfId="8141"/>
    <cellStyle name="Normal 58 6 2 2 2" xfId="17182"/>
    <cellStyle name="Normal 58 6 2 3" xfId="12669"/>
    <cellStyle name="Normal 58 6 3" xfId="5794"/>
    <cellStyle name="Normal 58 6 3 2" xfId="14835"/>
    <cellStyle name="Normal 58 6 4" xfId="10322"/>
    <cellStyle name="Normal 58 7" xfId="3603"/>
    <cellStyle name="Normal 58 7 2" xfId="8118"/>
    <cellStyle name="Normal 58 7 2 2" xfId="17159"/>
    <cellStyle name="Normal 58 7 3" xfId="12646"/>
    <cellStyle name="Normal 58 8" xfId="4666"/>
    <cellStyle name="Normal 58 8 2" xfId="13707"/>
    <cellStyle name="Normal 58 9" xfId="9194"/>
    <cellStyle name="Normal 59" xfId="59"/>
    <cellStyle name="Normal 59 2" xfId="155"/>
    <cellStyle name="Normal 59 2 2" xfId="384"/>
    <cellStyle name="Normal 59 2 2 2" xfId="948"/>
    <cellStyle name="Normal 59 2 2 2 2" xfId="2118"/>
    <cellStyle name="Normal 59 2 2 2 2 2" xfId="3631"/>
    <cellStyle name="Normal 59 2 2 2 2 2 2" xfId="8146"/>
    <cellStyle name="Normal 59 2 2 2 2 2 2 2" xfId="17187"/>
    <cellStyle name="Normal 59 2 2 2 2 2 3" xfId="12674"/>
    <cellStyle name="Normal 59 2 2 2 2 3" xfId="6641"/>
    <cellStyle name="Normal 59 2 2 2 2 3 2" xfId="15682"/>
    <cellStyle name="Normal 59 2 2 2 2 4" xfId="11169"/>
    <cellStyle name="Normal 59 2 2 2 3" xfId="3630"/>
    <cellStyle name="Normal 59 2 2 2 3 2" xfId="8145"/>
    <cellStyle name="Normal 59 2 2 2 3 2 2" xfId="17186"/>
    <cellStyle name="Normal 59 2 2 2 3 3" xfId="12673"/>
    <cellStyle name="Normal 59 2 2 2 4" xfId="5513"/>
    <cellStyle name="Normal 59 2 2 2 4 2" xfId="14554"/>
    <cellStyle name="Normal 59 2 2 2 5" xfId="10041"/>
    <cellStyle name="Normal 59 2 2 3" xfId="1554"/>
    <cellStyle name="Normal 59 2 2 3 2" xfId="3632"/>
    <cellStyle name="Normal 59 2 2 3 2 2" xfId="8147"/>
    <cellStyle name="Normal 59 2 2 3 2 2 2" xfId="17188"/>
    <cellStyle name="Normal 59 2 2 3 2 3" xfId="12675"/>
    <cellStyle name="Normal 59 2 2 3 3" xfId="6077"/>
    <cellStyle name="Normal 59 2 2 3 3 2" xfId="15118"/>
    <cellStyle name="Normal 59 2 2 3 4" xfId="10605"/>
    <cellStyle name="Normal 59 2 2 4" xfId="3629"/>
    <cellStyle name="Normal 59 2 2 4 2" xfId="8144"/>
    <cellStyle name="Normal 59 2 2 4 2 2" xfId="17185"/>
    <cellStyle name="Normal 59 2 2 4 3" xfId="12672"/>
    <cellStyle name="Normal 59 2 2 5" xfId="4949"/>
    <cellStyle name="Normal 59 2 2 5 2" xfId="13990"/>
    <cellStyle name="Normal 59 2 2 6" xfId="9477"/>
    <cellStyle name="Normal 59 2 3" xfId="572"/>
    <cellStyle name="Normal 59 2 3 2" xfId="1136"/>
    <cellStyle name="Normal 59 2 3 2 2" xfId="2306"/>
    <cellStyle name="Normal 59 2 3 2 2 2" xfId="3635"/>
    <cellStyle name="Normal 59 2 3 2 2 2 2" xfId="8150"/>
    <cellStyle name="Normal 59 2 3 2 2 2 2 2" xfId="17191"/>
    <cellStyle name="Normal 59 2 3 2 2 2 3" xfId="12678"/>
    <cellStyle name="Normal 59 2 3 2 2 3" xfId="6829"/>
    <cellStyle name="Normal 59 2 3 2 2 3 2" xfId="15870"/>
    <cellStyle name="Normal 59 2 3 2 2 4" xfId="11357"/>
    <cellStyle name="Normal 59 2 3 2 3" xfId="3634"/>
    <cellStyle name="Normal 59 2 3 2 3 2" xfId="8149"/>
    <cellStyle name="Normal 59 2 3 2 3 2 2" xfId="17190"/>
    <cellStyle name="Normal 59 2 3 2 3 3" xfId="12677"/>
    <cellStyle name="Normal 59 2 3 2 4" xfId="5701"/>
    <cellStyle name="Normal 59 2 3 2 4 2" xfId="14742"/>
    <cellStyle name="Normal 59 2 3 2 5" xfId="10229"/>
    <cellStyle name="Normal 59 2 3 3" xfId="1742"/>
    <cellStyle name="Normal 59 2 3 3 2" xfId="3636"/>
    <cellStyle name="Normal 59 2 3 3 2 2" xfId="8151"/>
    <cellStyle name="Normal 59 2 3 3 2 2 2" xfId="17192"/>
    <cellStyle name="Normal 59 2 3 3 2 3" xfId="12679"/>
    <cellStyle name="Normal 59 2 3 3 3" xfId="6265"/>
    <cellStyle name="Normal 59 2 3 3 3 2" xfId="15306"/>
    <cellStyle name="Normal 59 2 3 3 4" xfId="10793"/>
    <cellStyle name="Normal 59 2 3 4" xfId="3633"/>
    <cellStyle name="Normal 59 2 3 4 2" xfId="8148"/>
    <cellStyle name="Normal 59 2 3 4 2 2" xfId="17189"/>
    <cellStyle name="Normal 59 2 3 4 3" xfId="12676"/>
    <cellStyle name="Normal 59 2 3 5" xfId="5137"/>
    <cellStyle name="Normal 59 2 3 5 2" xfId="14178"/>
    <cellStyle name="Normal 59 2 3 6" xfId="9665"/>
    <cellStyle name="Normal 59 2 4" xfId="760"/>
    <cellStyle name="Normal 59 2 4 2" xfId="1930"/>
    <cellStyle name="Normal 59 2 4 2 2" xfId="3638"/>
    <cellStyle name="Normal 59 2 4 2 2 2" xfId="8153"/>
    <cellStyle name="Normal 59 2 4 2 2 2 2" xfId="17194"/>
    <cellStyle name="Normal 59 2 4 2 2 3" xfId="12681"/>
    <cellStyle name="Normal 59 2 4 2 3" xfId="6453"/>
    <cellStyle name="Normal 59 2 4 2 3 2" xfId="15494"/>
    <cellStyle name="Normal 59 2 4 2 4" xfId="10981"/>
    <cellStyle name="Normal 59 2 4 3" xfId="3637"/>
    <cellStyle name="Normal 59 2 4 3 2" xfId="8152"/>
    <cellStyle name="Normal 59 2 4 3 2 2" xfId="17193"/>
    <cellStyle name="Normal 59 2 4 3 3" xfId="12680"/>
    <cellStyle name="Normal 59 2 4 4" xfId="5325"/>
    <cellStyle name="Normal 59 2 4 4 2" xfId="14366"/>
    <cellStyle name="Normal 59 2 4 5" xfId="9853"/>
    <cellStyle name="Normal 59 2 5" xfId="1366"/>
    <cellStyle name="Normal 59 2 5 2" xfId="3639"/>
    <cellStyle name="Normal 59 2 5 2 2" xfId="8154"/>
    <cellStyle name="Normal 59 2 5 2 2 2" xfId="17195"/>
    <cellStyle name="Normal 59 2 5 2 3" xfId="12682"/>
    <cellStyle name="Normal 59 2 5 3" xfId="5889"/>
    <cellStyle name="Normal 59 2 5 3 2" xfId="14930"/>
    <cellStyle name="Normal 59 2 5 4" xfId="10417"/>
    <cellStyle name="Normal 59 2 6" xfId="3628"/>
    <cellStyle name="Normal 59 2 6 2" xfId="8143"/>
    <cellStyle name="Normal 59 2 6 2 2" xfId="17184"/>
    <cellStyle name="Normal 59 2 6 3" xfId="12671"/>
    <cellStyle name="Normal 59 2 7" xfId="4761"/>
    <cellStyle name="Normal 59 2 7 2" xfId="13802"/>
    <cellStyle name="Normal 59 2 8" xfId="9289"/>
    <cellStyle name="Normal 59 3" xfId="290"/>
    <cellStyle name="Normal 59 3 2" xfId="854"/>
    <cellStyle name="Normal 59 3 2 2" xfId="2024"/>
    <cellStyle name="Normal 59 3 2 2 2" xfId="3642"/>
    <cellStyle name="Normal 59 3 2 2 2 2" xfId="8157"/>
    <cellStyle name="Normal 59 3 2 2 2 2 2" xfId="17198"/>
    <cellStyle name="Normal 59 3 2 2 2 3" xfId="12685"/>
    <cellStyle name="Normal 59 3 2 2 3" xfId="6547"/>
    <cellStyle name="Normal 59 3 2 2 3 2" xfId="15588"/>
    <cellStyle name="Normal 59 3 2 2 4" xfId="11075"/>
    <cellStyle name="Normal 59 3 2 3" xfId="3641"/>
    <cellStyle name="Normal 59 3 2 3 2" xfId="8156"/>
    <cellStyle name="Normal 59 3 2 3 2 2" xfId="17197"/>
    <cellStyle name="Normal 59 3 2 3 3" xfId="12684"/>
    <cellStyle name="Normal 59 3 2 4" xfId="5419"/>
    <cellStyle name="Normal 59 3 2 4 2" xfId="14460"/>
    <cellStyle name="Normal 59 3 2 5" xfId="9947"/>
    <cellStyle name="Normal 59 3 3" xfId="1460"/>
    <cellStyle name="Normal 59 3 3 2" xfId="3643"/>
    <cellStyle name="Normal 59 3 3 2 2" xfId="8158"/>
    <cellStyle name="Normal 59 3 3 2 2 2" xfId="17199"/>
    <cellStyle name="Normal 59 3 3 2 3" xfId="12686"/>
    <cellStyle name="Normal 59 3 3 3" xfId="5983"/>
    <cellStyle name="Normal 59 3 3 3 2" xfId="15024"/>
    <cellStyle name="Normal 59 3 3 4" xfId="10511"/>
    <cellStyle name="Normal 59 3 4" xfId="3640"/>
    <cellStyle name="Normal 59 3 4 2" xfId="8155"/>
    <cellStyle name="Normal 59 3 4 2 2" xfId="17196"/>
    <cellStyle name="Normal 59 3 4 3" xfId="12683"/>
    <cellStyle name="Normal 59 3 5" xfId="4855"/>
    <cellStyle name="Normal 59 3 5 2" xfId="13896"/>
    <cellStyle name="Normal 59 3 6" xfId="9383"/>
    <cellStyle name="Normal 59 4" xfId="478"/>
    <cellStyle name="Normal 59 4 2" xfId="1042"/>
    <cellStyle name="Normal 59 4 2 2" xfId="2212"/>
    <cellStyle name="Normal 59 4 2 2 2" xfId="3646"/>
    <cellStyle name="Normal 59 4 2 2 2 2" xfId="8161"/>
    <cellStyle name="Normal 59 4 2 2 2 2 2" xfId="17202"/>
    <cellStyle name="Normal 59 4 2 2 2 3" xfId="12689"/>
    <cellStyle name="Normal 59 4 2 2 3" xfId="6735"/>
    <cellStyle name="Normal 59 4 2 2 3 2" xfId="15776"/>
    <cellStyle name="Normal 59 4 2 2 4" xfId="11263"/>
    <cellStyle name="Normal 59 4 2 3" xfId="3645"/>
    <cellStyle name="Normal 59 4 2 3 2" xfId="8160"/>
    <cellStyle name="Normal 59 4 2 3 2 2" xfId="17201"/>
    <cellStyle name="Normal 59 4 2 3 3" xfId="12688"/>
    <cellStyle name="Normal 59 4 2 4" xfId="5607"/>
    <cellStyle name="Normal 59 4 2 4 2" xfId="14648"/>
    <cellStyle name="Normal 59 4 2 5" xfId="10135"/>
    <cellStyle name="Normal 59 4 3" xfId="1648"/>
    <cellStyle name="Normal 59 4 3 2" xfId="3647"/>
    <cellStyle name="Normal 59 4 3 2 2" xfId="8162"/>
    <cellStyle name="Normal 59 4 3 2 2 2" xfId="17203"/>
    <cellStyle name="Normal 59 4 3 2 3" xfId="12690"/>
    <cellStyle name="Normal 59 4 3 3" xfId="6171"/>
    <cellStyle name="Normal 59 4 3 3 2" xfId="15212"/>
    <cellStyle name="Normal 59 4 3 4" xfId="10699"/>
    <cellStyle name="Normal 59 4 4" xfId="3644"/>
    <cellStyle name="Normal 59 4 4 2" xfId="8159"/>
    <cellStyle name="Normal 59 4 4 2 2" xfId="17200"/>
    <cellStyle name="Normal 59 4 4 3" xfId="12687"/>
    <cellStyle name="Normal 59 4 5" xfId="5043"/>
    <cellStyle name="Normal 59 4 5 2" xfId="14084"/>
    <cellStyle name="Normal 59 4 6" xfId="9571"/>
    <cellStyle name="Normal 59 5" xfId="666"/>
    <cellStyle name="Normal 59 5 2" xfId="1836"/>
    <cellStyle name="Normal 59 5 2 2" xfId="3649"/>
    <cellStyle name="Normal 59 5 2 2 2" xfId="8164"/>
    <cellStyle name="Normal 59 5 2 2 2 2" xfId="17205"/>
    <cellStyle name="Normal 59 5 2 2 3" xfId="12692"/>
    <cellStyle name="Normal 59 5 2 3" xfId="6359"/>
    <cellStyle name="Normal 59 5 2 3 2" xfId="15400"/>
    <cellStyle name="Normal 59 5 2 4" xfId="10887"/>
    <cellStyle name="Normal 59 5 3" xfId="3648"/>
    <cellStyle name="Normal 59 5 3 2" xfId="8163"/>
    <cellStyle name="Normal 59 5 3 2 2" xfId="17204"/>
    <cellStyle name="Normal 59 5 3 3" xfId="12691"/>
    <cellStyle name="Normal 59 5 4" xfId="5231"/>
    <cellStyle name="Normal 59 5 4 2" xfId="14272"/>
    <cellStyle name="Normal 59 5 5" xfId="9759"/>
    <cellStyle name="Normal 59 6" xfId="1272"/>
    <cellStyle name="Normal 59 6 2" xfId="3650"/>
    <cellStyle name="Normal 59 6 2 2" xfId="8165"/>
    <cellStyle name="Normal 59 6 2 2 2" xfId="17206"/>
    <cellStyle name="Normal 59 6 2 3" xfId="12693"/>
    <cellStyle name="Normal 59 6 3" xfId="5795"/>
    <cellStyle name="Normal 59 6 3 2" xfId="14836"/>
    <cellStyle name="Normal 59 6 4" xfId="10323"/>
    <cellStyle name="Normal 59 7" xfId="3627"/>
    <cellStyle name="Normal 59 7 2" xfId="8142"/>
    <cellStyle name="Normal 59 7 2 2" xfId="17183"/>
    <cellStyle name="Normal 59 7 3" xfId="12670"/>
    <cellStyle name="Normal 59 8" xfId="4667"/>
    <cellStyle name="Normal 59 8 2" xfId="13708"/>
    <cellStyle name="Normal 59 9" xfId="9195"/>
    <cellStyle name="Normal 6" xfId="4"/>
    <cellStyle name="Normal 60" xfId="60"/>
    <cellStyle name="Normal 60 2" xfId="156"/>
    <cellStyle name="Normal 60 2 2" xfId="385"/>
    <cellStyle name="Normal 60 2 2 2" xfId="949"/>
    <cellStyle name="Normal 60 2 2 2 2" xfId="2119"/>
    <cellStyle name="Normal 60 2 2 2 2 2" xfId="3655"/>
    <cellStyle name="Normal 60 2 2 2 2 2 2" xfId="8170"/>
    <cellStyle name="Normal 60 2 2 2 2 2 2 2" xfId="17211"/>
    <cellStyle name="Normal 60 2 2 2 2 2 3" xfId="12698"/>
    <cellStyle name="Normal 60 2 2 2 2 3" xfId="6642"/>
    <cellStyle name="Normal 60 2 2 2 2 3 2" xfId="15683"/>
    <cellStyle name="Normal 60 2 2 2 2 4" xfId="11170"/>
    <cellStyle name="Normal 60 2 2 2 3" xfId="3654"/>
    <cellStyle name="Normal 60 2 2 2 3 2" xfId="8169"/>
    <cellStyle name="Normal 60 2 2 2 3 2 2" xfId="17210"/>
    <cellStyle name="Normal 60 2 2 2 3 3" xfId="12697"/>
    <cellStyle name="Normal 60 2 2 2 4" xfId="5514"/>
    <cellStyle name="Normal 60 2 2 2 4 2" xfId="14555"/>
    <cellStyle name="Normal 60 2 2 2 5" xfId="10042"/>
    <cellStyle name="Normal 60 2 2 3" xfId="1555"/>
    <cellStyle name="Normal 60 2 2 3 2" xfId="3656"/>
    <cellStyle name="Normal 60 2 2 3 2 2" xfId="8171"/>
    <cellStyle name="Normal 60 2 2 3 2 2 2" xfId="17212"/>
    <cellStyle name="Normal 60 2 2 3 2 3" xfId="12699"/>
    <cellStyle name="Normal 60 2 2 3 3" xfId="6078"/>
    <cellStyle name="Normal 60 2 2 3 3 2" xfId="15119"/>
    <cellStyle name="Normal 60 2 2 3 4" xfId="10606"/>
    <cellStyle name="Normal 60 2 2 4" xfId="3653"/>
    <cellStyle name="Normal 60 2 2 4 2" xfId="8168"/>
    <cellStyle name="Normal 60 2 2 4 2 2" xfId="17209"/>
    <cellStyle name="Normal 60 2 2 4 3" xfId="12696"/>
    <cellStyle name="Normal 60 2 2 5" xfId="4950"/>
    <cellStyle name="Normal 60 2 2 5 2" xfId="13991"/>
    <cellStyle name="Normal 60 2 2 6" xfId="9478"/>
    <cellStyle name="Normal 60 2 3" xfId="573"/>
    <cellStyle name="Normal 60 2 3 2" xfId="1137"/>
    <cellStyle name="Normal 60 2 3 2 2" xfId="2307"/>
    <cellStyle name="Normal 60 2 3 2 2 2" xfId="3659"/>
    <cellStyle name="Normal 60 2 3 2 2 2 2" xfId="8174"/>
    <cellStyle name="Normal 60 2 3 2 2 2 2 2" xfId="17215"/>
    <cellStyle name="Normal 60 2 3 2 2 2 3" xfId="12702"/>
    <cellStyle name="Normal 60 2 3 2 2 3" xfId="6830"/>
    <cellStyle name="Normal 60 2 3 2 2 3 2" xfId="15871"/>
    <cellStyle name="Normal 60 2 3 2 2 4" xfId="11358"/>
    <cellStyle name="Normal 60 2 3 2 3" xfId="3658"/>
    <cellStyle name="Normal 60 2 3 2 3 2" xfId="8173"/>
    <cellStyle name="Normal 60 2 3 2 3 2 2" xfId="17214"/>
    <cellStyle name="Normal 60 2 3 2 3 3" xfId="12701"/>
    <cellStyle name="Normal 60 2 3 2 4" xfId="5702"/>
    <cellStyle name="Normal 60 2 3 2 4 2" xfId="14743"/>
    <cellStyle name="Normal 60 2 3 2 5" xfId="10230"/>
    <cellStyle name="Normal 60 2 3 3" xfId="1743"/>
    <cellStyle name="Normal 60 2 3 3 2" xfId="3660"/>
    <cellStyle name="Normal 60 2 3 3 2 2" xfId="8175"/>
    <cellStyle name="Normal 60 2 3 3 2 2 2" xfId="17216"/>
    <cellStyle name="Normal 60 2 3 3 2 3" xfId="12703"/>
    <cellStyle name="Normal 60 2 3 3 3" xfId="6266"/>
    <cellStyle name="Normal 60 2 3 3 3 2" xfId="15307"/>
    <cellStyle name="Normal 60 2 3 3 4" xfId="10794"/>
    <cellStyle name="Normal 60 2 3 4" xfId="3657"/>
    <cellStyle name="Normal 60 2 3 4 2" xfId="8172"/>
    <cellStyle name="Normal 60 2 3 4 2 2" xfId="17213"/>
    <cellStyle name="Normal 60 2 3 4 3" xfId="12700"/>
    <cellStyle name="Normal 60 2 3 5" xfId="5138"/>
    <cellStyle name="Normal 60 2 3 5 2" xfId="14179"/>
    <cellStyle name="Normal 60 2 3 6" xfId="9666"/>
    <cellStyle name="Normal 60 2 4" xfId="761"/>
    <cellStyle name="Normal 60 2 4 2" xfId="1931"/>
    <cellStyle name="Normal 60 2 4 2 2" xfId="3662"/>
    <cellStyle name="Normal 60 2 4 2 2 2" xfId="8177"/>
    <cellStyle name="Normal 60 2 4 2 2 2 2" xfId="17218"/>
    <cellStyle name="Normal 60 2 4 2 2 3" xfId="12705"/>
    <cellStyle name="Normal 60 2 4 2 3" xfId="6454"/>
    <cellStyle name="Normal 60 2 4 2 3 2" xfId="15495"/>
    <cellStyle name="Normal 60 2 4 2 4" xfId="10982"/>
    <cellStyle name="Normal 60 2 4 3" xfId="3661"/>
    <cellStyle name="Normal 60 2 4 3 2" xfId="8176"/>
    <cellStyle name="Normal 60 2 4 3 2 2" xfId="17217"/>
    <cellStyle name="Normal 60 2 4 3 3" xfId="12704"/>
    <cellStyle name="Normal 60 2 4 4" xfId="5326"/>
    <cellStyle name="Normal 60 2 4 4 2" xfId="14367"/>
    <cellStyle name="Normal 60 2 4 5" xfId="9854"/>
    <cellStyle name="Normal 60 2 5" xfId="1367"/>
    <cellStyle name="Normal 60 2 5 2" xfId="3663"/>
    <cellStyle name="Normal 60 2 5 2 2" xfId="8178"/>
    <cellStyle name="Normal 60 2 5 2 2 2" xfId="17219"/>
    <cellStyle name="Normal 60 2 5 2 3" xfId="12706"/>
    <cellStyle name="Normal 60 2 5 3" xfId="5890"/>
    <cellStyle name="Normal 60 2 5 3 2" xfId="14931"/>
    <cellStyle name="Normal 60 2 5 4" xfId="10418"/>
    <cellStyle name="Normal 60 2 6" xfId="3652"/>
    <cellStyle name="Normal 60 2 6 2" xfId="8167"/>
    <cellStyle name="Normal 60 2 6 2 2" xfId="17208"/>
    <cellStyle name="Normal 60 2 6 3" xfId="12695"/>
    <cellStyle name="Normal 60 2 7" xfId="4762"/>
    <cellStyle name="Normal 60 2 7 2" xfId="13803"/>
    <cellStyle name="Normal 60 2 8" xfId="9290"/>
    <cellStyle name="Normal 60 3" xfId="291"/>
    <cellStyle name="Normal 60 3 2" xfId="855"/>
    <cellStyle name="Normal 60 3 2 2" xfId="2025"/>
    <cellStyle name="Normal 60 3 2 2 2" xfId="3666"/>
    <cellStyle name="Normal 60 3 2 2 2 2" xfId="8181"/>
    <cellStyle name="Normal 60 3 2 2 2 2 2" xfId="17222"/>
    <cellStyle name="Normal 60 3 2 2 2 3" xfId="12709"/>
    <cellStyle name="Normal 60 3 2 2 3" xfId="6548"/>
    <cellStyle name="Normal 60 3 2 2 3 2" xfId="15589"/>
    <cellStyle name="Normal 60 3 2 2 4" xfId="11076"/>
    <cellStyle name="Normal 60 3 2 3" xfId="3665"/>
    <cellStyle name="Normal 60 3 2 3 2" xfId="8180"/>
    <cellStyle name="Normal 60 3 2 3 2 2" xfId="17221"/>
    <cellStyle name="Normal 60 3 2 3 3" xfId="12708"/>
    <cellStyle name="Normal 60 3 2 4" xfId="5420"/>
    <cellStyle name="Normal 60 3 2 4 2" xfId="14461"/>
    <cellStyle name="Normal 60 3 2 5" xfId="9948"/>
    <cellStyle name="Normal 60 3 3" xfId="1461"/>
    <cellStyle name="Normal 60 3 3 2" xfId="3667"/>
    <cellStyle name="Normal 60 3 3 2 2" xfId="8182"/>
    <cellStyle name="Normal 60 3 3 2 2 2" xfId="17223"/>
    <cellStyle name="Normal 60 3 3 2 3" xfId="12710"/>
    <cellStyle name="Normal 60 3 3 3" xfId="5984"/>
    <cellStyle name="Normal 60 3 3 3 2" xfId="15025"/>
    <cellStyle name="Normal 60 3 3 4" xfId="10512"/>
    <cellStyle name="Normal 60 3 4" xfId="3664"/>
    <cellStyle name="Normal 60 3 4 2" xfId="8179"/>
    <cellStyle name="Normal 60 3 4 2 2" xfId="17220"/>
    <cellStyle name="Normal 60 3 4 3" xfId="12707"/>
    <cellStyle name="Normal 60 3 5" xfId="4856"/>
    <cellStyle name="Normal 60 3 5 2" xfId="13897"/>
    <cellStyle name="Normal 60 3 6" xfId="9384"/>
    <cellStyle name="Normal 60 4" xfId="479"/>
    <cellStyle name="Normal 60 4 2" xfId="1043"/>
    <cellStyle name="Normal 60 4 2 2" xfId="2213"/>
    <cellStyle name="Normal 60 4 2 2 2" xfId="3670"/>
    <cellStyle name="Normal 60 4 2 2 2 2" xfId="8185"/>
    <cellStyle name="Normal 60 4 2 2 2 2 2" xfId="17226"/>
    <cellStyle name="Normal 60 4 2 2 2 3" xfId="12713"/>
    <cellStyle name="Normal 60 4 2 2 3" xfId="6736"/>
    <cellStyle name="Normal 60 4 2 2 3 2" xfId="15777"/>
    <cellStyle name="Normal 60 4 2 2 4" xfId="11264"/>
    <cellStyle name="Normal 60 4 2 3" xfId="3669"/>
    <cellStyle name="Normal 60 4 2 3 2" xfId="8184"/>
    <cellStyle name="Normal 60 4 2 3 2 2" xfId="17225"/>
    <cellStyle name="Normal 60 4 2 3 3" xfId="12712"/>
    <cellStyle name="Normal 60 4 2 4" xfId="5608"/>
    <cellStyle name="Normal 60 4 2 4 2" xfId="14649"/>
    <cellStyle name="Normal 60 4 2 5" xfId="10136"/>
    <cellStyle name="Normal 60 4 3" xfId="1649"/>
    <cellStyle name="Normal 60 4 3 2" xfId="3671"/>
    <cellStyle name="Normal 60 4 3 2 2" xfId="8186"/>
    <cellStyle name="Normal 60 4 3 2 2 2" xfId="17227"/>
    <cellStyle name="Normal 60 4 3 2 3" xfId="12714"/>
    <cellStyle name="Normal 60 4 3 3" xfId="6172"/>
    <cellStyle name="Normal 60 4 3 3 2" xfId="15213"/>
    <cellStyle name="Normal 60 4 3 4" xfId="10700"/>
    <cellStyle name="Normal 60 4 4" xfId="3668"/>
    <cellStyle name="Normal 60 4 4 2" xfId="8183"/>
    <cellStyle name="Normal 60 4 4 2 2" xfId="17224"/>
    <cellStyle name="Normal 60 4 4 3" xfId="12711"/>
    <cellStyle name="Normal 60 4 5" xfId="5044"/>
    <cellStyle name="Normal 60 4 5 2" xfId="14085"/>
    <cellStyle name="Normal 60 4 6" xfId="9572"/>
    <cellStyle name="Normal 60 5" xfId="667"/>
    <cellStyle name="Normal 60 5 2" xfId="1837"/>
    <cellStyle name="Normal 60 5 2 2" xfId="3673"/>
    <cellStyle name="Normal 60 5 2 2 2" xfId="8188"/>
    <cellStyle name="Normal 60 5 2 2 2 2" xfId="17229"/>
    <cellStyle name="Normal 60 5 2 2 3" xfId="12716"/>
    <cellStyle name="Normal 60 5 2 3" xfId="6360"/>
    <cellStyle name="Normal 60 5 2 3 2" xfId="15401"/>
    <cellStyle name="Normal 60 5 2 4" xfId="10888"/>
    <cellStyle name="Normal 60 5 3" xfId="3672"/>
    <cellStyle name="Normal 60 5 3 2" xfId="8187"/>
    <cellStyle name="Normal 60 5 3 2 2" xfId="17228"/>
    <cellStyle name="Normal 60 5 3 3" xfId="12715"/>
    <cellStyle name="Normal 60 5 4" xfId="5232"/>
    <cellStyle name="Normal 60 5 4 2" xfId="14273"/>
    <cellStyle name="Normal 60 5 5" xfId="9760"/>
    <cellStyle name="Normal 60 6" xfId="1273"/>
    <cellStyle name="Normal 60 6 2" xfId="3674"/>
    <cellStyle name="Normal 60 6 2 2" xfId="8189"/>
    <cellStyle name="Normal 60 6 2 2 2" xfId="17230"/>
    <cellStyle name="Normal 60 6 2 3" xfId="12717"/>
    <cellStyle name="Normal 60 6 3" xfId="5796"/>
    <cellStyle name="Normal 60 6 3 2" xfId="14837"/>
    <cellStyle name="Normal 60 6 4" xfId="10324"/>
    <cellStyle name="Normal 60 7" xfId="3651"/>
    <cellStyle name="Normal 60 7 2" xfId="8166"/>
    <cellStyle name="Normal 60 7 2 2" xfId="17207"/>
    <cellStyle name="Normal 60 7 3" xfId="12694"/>
    <cellStyle name="Normal 60 8" xfId="4668"/>
    <cellStyle name="Normal 60 8 2" xfId="13709"/>
    <cellStyle name="Normal 60 9" xfId="9196"/>
    <cellStyle name="Normal 61" xfId="61"/>
    <cellStyle name="Normal 61 2" xfId="157"/>
    <cellStyle name="Normal 61 2 2" xfId="386"/>
    <cellStyle name="Normal 61 2 2 2" xfId="950"/>
    <cellStyle name="Normal 61 2 2 2 2" xfId="2120"/>
    <cellStyle name="Normal 61 2 2 2 2 2" xfId="3679"/>
    <cellStyle name="Normal 61 2 2 2 2 2 2" xfId="8194"/>
    <cellStyle name="Normal 61 2 2 2 2 2 2 2" xfId="17235"/>
    <cellStyle name="Normal 61 2 2 2 2 2 3" xfId="12722"/>
    <cellStyle name="Normal 61 2 2 2 2 3" xfId="6643"/>
    <cellStyle name="Normal 61 2 2 2 2 3 2" xfId="15684"/>
    <cellStyle name="Normal 61 2 2 2 2 4" xfId="11171"/>
    <cellStyle name="Normal 61 2 2 2 3" xfId="3678"/>
    <cellStyle name="Normal 61 2 2 2 3 2" xfId="8193"/>
    <cellStyle name="Normal 61 2 2 2 3 2 2" xfId="17234"/>
    <cellStyle name="Normal 61 2 2 2 3 3" xfId="12721"/>
    <cellStyle name="Normal 61 2 2 2 4" xfId="5515"/>
    <cellStyle name="Normal 61 2 2 2 4 2" xfId="14556"/>
    <cellStyle name="Normal 61 2 2 2 5" xfId="10043"/>
    <cellStyle name="Normal 61 2 2 3" xfId="1556"/>
    <cellStyle name="Normal 61 2 2 3 2" xfId="3680"/>
    <cellStyle name="Normal 61 2 2 3 2 2" xfId="8195"/>
    <cellStyle name="Normal 61 2 2 3 2 2 2" xfId="17236"/>
    <cellStyle name="Normal 61 2 2 3 2 3" xfId="12723"/>
    <cellStyle name="Normal 61 2 2 3 3" xfId="6079"/>
    <cellStyle name="Normal 61 2 2 3 3 2" xfId="15120"/>
    <cellStyle name="Normal 61 2 2 3 4" xfId="10607"/>
    <cellStyle name="Normal 61 2 2 4" xfId="3677"/>
    <cellStyle name="Normal 61 2 2 4 2" xfId="8192"/>
    <cellStyle name="Normal 61 2 2 4 2 2" xfId="17233"/>
    <cellStyle name="Normal 61 2 2 4 3" xfId="12720"/>
    <cellStyle name="Normal 61 2 2 5" xfId="4951"/>
    <cellStyle name="Normal 61 2 2 5 2" xfId="13992"/>
    <cellStyle name="Normal 61 2 2 6" xfId="9479"/>
    <cellStyle name="Normal 61 2 3" xfId="574"/>
    <cellStyle name="Normal 61 2 3 2" xfId="1138"/>
    <cellStyle name="Normal 61 2 3 2 2" xfId="2308"/>
    <cellStyle name="Normal 61 2 3 2 2 2" xfId="3683"/>
    <cellStyle name="Normal 61 2 3 2 2 2 2" xfId="8198"/>
    <cellStyle name="Normal 61 2 3 2 2 2 2 2" xfId="17239"/>
    <cellStyle name="Normal 61 2 3 2 2 2 3" xfId="12726"/>
    <cellStyle name="Normal 61 2 3 2 2 3" xfId="6831"/>
    <cellStyle name="Normal 61 2 3 2 2 3 2" xfId="15872"/>
    <cellStyle name="Normal 61 2 3 2 2 4" xfId="11359"/>
    <cellStyle name="Normal 61 2 3 2 3" xfId="3682"/>
    <cellStyle name="Normal 61 2 3 2 3 2" xfId="8197"/>
    <cellStyle name="Normal 61 2 3 2 3 2 2" xfId="17238"/>
    <cellStyle name="Normal 61 2 3 2 3 3" xfId="12725"/>
    <cellStyle name="Normal 61 2 3 2 4" xfId="5703"/>
    <cellStyle name="Normal 61 2 3 2 4 2" xfId="14744"/>
    <cellStyle name="Normal 61 2 3 2 5" xfId="10231"/>
    <cellStyle name="Normal 61 2 3 3" xfId="1744"/>
    <cellStyle name="Normal 61 2 3 3 2" xfId="3684"/>
    <cellStyle name="Normal 61 2 3 3 2 2" xfId="8199"/>
    <cellStyle name="Normal 61 2 3 3 2 2 2" xfId="17240"/>
    <cellStyle name="Normal 61 2 3 3 2 3" xfId="12727"/>
    <cellStyle name="Normal 61 2 3 3 3" xfId="6267"/>
    <cellStyle name="Normal 61 2 3 3 3 2" xfId="15308"/>
    <cellStyle name="Normal 61 2 3 3 4" xfId="10795"/>
    <cellStyle name="Normal 61 2 3 4" xfId="3681"/>
    <cellStyle name="Normal 61 2 3 4 2" xfId="8196"/>
    <cellStyle name="Normal 61 2 3 4 2 2" xfId="17237"/>
    <cellStyle name="Normal 61 2 3 4 3" xfId="12724"/>
    <cellStyle name="Normal 61 2 3 5" xfId="5139"/>
    <cellStyle name="Normal 61 2 3 5 2" xfId="14180"/>
    <cellStyle name="Normal 61 2 3 6" xfId="9667"/>
    <cellStyle name="Normal 61 2 4" xfId="762"/>
    <cellStyle name="Normal 61 2 4 2" xfId="1932"/>
    <cellStyle name="Normal 61 2 4 2 2" xfId="3686"/>
    <cellStyle name="Normal 61 2 4 2 2 2" xfId="8201"/>
    <cellStyle name="Normal 61 2 4 2 2 2 2" xfId="17242"/>
    <cellStyle name="Normal 61 2 4 2 2 3" xfId="12729"/>
    <cellStyle name="Normal 61 2 4 2 3" xfId="6455"/>
    <cellStyle name="Normal 61 2 4 2 3 2" xfId="15496"/>
    <cellStyle name="Normal 61 2 4 2 4" xfId="10983"/>
    <cellStyle name="Normal 61 2 4 3" xfId="3685"/>
    <cellStyle name="Normal 61 2 4 3 2" xfId="8200"/>
    <cellStyle name="Normal 61 2 4 3 2 2" xfId="17241"/>
    <cellStyle name="Normal 61 2 4 3 3" xfId="12728"/>
    <cellStyle name="Normal 61 2 4 4" xfId="5327"/>
    <cellStyle name="Normal 61 2 4 4 2" xfId="14368"/>
    <cellStyle name="Normal 61 2 4 5" xfId="9855"/>
    <cellStyle name="Normal 61 2 5" xfId="1368"/>
    <cellStyle name="Normal 61 2 5 2" xfId="3687"/>
    <cellStyle name="Normal 61 2 5 2 2" xfId="8202"/>
    <cellStyle name="Normal 61 2 5 2 2 2" xfId="17243"/>
    <cellStyle name="Normal 61 2 5 2 3" xfId="12730"/>
    <cellStyle name="Normal 61 2 5 3" xfId="5891"/>
    <cellStyle name="Normal 61 2 5 3 2" xfId="14932"/>
    <cellStyle name="Normal 61 2 5 4" xfId="10419"/>
    <cellStyle name="Normal 61 2 6" xfId="3676"/>
    <cellStyle name="Normal 61 2 6 2" xfId="8191"/>
    <cellStyle name="Normal 61 2 6 2 2" xfId="17232"/>
    <cellStyle name="Normal 61 2 6 3" xfId="12719"/>
    <cellStyle name="Normal 61 2 7" xfId="4763"/>
    <cellStyle name="Normal 61 2 7 2" xfId="13804"/>
    <cellStyle name="Normal 61 2 8" xfId="9291"/>
    <cellStyle name="Normal 61 3" xfId="292"/>
    <cellStyle name="Normal 61 3 2" xfId="856"/>
    <cellStyle name="Normal 61 3 2 2" xfId="2026"/>
    <cellStyle name="Normal 61 3 2 2 2" xfId="3690"/>
    <cellStyle name="Normal 61 3 2 2 2 2" xfId="8205"/>
    <cellStyle name="Normal 61 3 2 2 2 2 2" xfId="17246"/>
    <cellStyle name="Normal 61 3 2 2 2 3" xfId="12733"/>
    <cellStyle name="Normal 61 3 2 2 3" xfId="6549"/>
    <cellStyle name="Normal 61 3 2 2 3 2" xfId="15590"/>
    <cellStyle name="Normal 61 3 2 2 4" xfId="11077"/>
    <cellStyle name="Normal 61 3 2 3" xfId="3689"/>
    <cellStyle name="Normal 61 3 2 3 2" xfId="8204"/>
    <cellStyle name="Normal 61 3 2 3 2 2" xfId="17245"/>
    <cellStyle name="Normal 61 3 2 3 3" xfId="12732"/>
    <cellStyle name="Normal 61 3 2 4" xfId="5421"/>
    <cellStyle name="Normal 61 3 2 4 2" xfId="14462"/>
    <cellStyle name="Normal 61 3 2 5" xfId="9949"/>
    <cellStyle name="Normal 61 3 3" xfId="1462"/>
    <cellStyle name="Normal 61 3 3 2" xfId="3691"/>
    <cellStyle name="Normal 61 3 3 2 2" xfId="8206"/>
    <cellStyle name="Normal 61 3 3 2 2 2" xfId="17247"/>
    <cellStyle name="Normal 61 3 3 2 3" xfId="12734"/>
    <cellStyle name="Normal 61 3 3 3" xfId="5985"/>
    <cellStyle name="Normal 61 3 3 3 2" xfId="15026"/>
    <cellStyle name="Normal 61 3 3 4" xfId="10513"/>
    <cellStyle name="Normal 61 3 4" xfId="3688"/>
    <cellStyle name="Normal 61 3 4 2" xfId="8203"/>
    <cellStyle name="Normal 61 3 4 2 2" xfId="17244"/>
    <cellStyle name="Normal 61 3 4 3" xfId="12731"/>
    <cellStyle name="Normal 61 3 5" xfId="4857"/>
    <cellStyle name="Normal 61 3 5 2" xfId="13898"/>
    <cellStyle name="Normal 61 3 6" xfId="9385"/>
    <cellStyle name="Normal 61 4" xfId="480"/>
    <cellStyle name="Normal 61 4 2" xfId="1044"/>
    <cellStyle name="Normal 61 4 2 2" xfId="2214"/>
    <cellStyle name="Normal 61 4 2 2 2" xfId="3694"/>
    <cellStyle name="Normal 61 4 2 2 2 2" xfId="8209"/>
    <cellStyle name="Normal 61 4 2 2 2 2 2" xfId="17250"/>
    <cellStyle name="Normal 61 4 2 2 2 3" xfId="12737"/>
    <cellStyle name="Normal 61 4 2 2 3" xfId="6737"/>
    <cellStyle name="Normal 61 4 2 2 3 2" xfId="15778"/>
    <cellStyle name="Normal 61 4 2 2 4" xfId="11265"/>
    <cellStyle name="Normal 61 4 2 3" xfId="3693"/>
    <cellStyle name="Normal 61 4 2 3 2" xfId="8208"/>
    <cellStyle name="Normal 61 4 2 3 2 2" xfId="17249"/>
    <cellStyle name="Normal 61 4 2 3 3" xfId="12736"/>
    <cellStyle name="Normal 61 4 2 4" xfId="5609"/>
    <cellStyle name="Normal 61 4 2 4 2" xfId="14650"/>
    <cellStyle name="Normal 61 4 2 5" xfId="10137"/>
    <cellStyle name="Normal 61 4 3" xfId="1650"/>
    <cellStyle name="Normal 61 4 3 2" xfId="3695"/>
    <cellStyle name="Normal 61 4 3 2 2" xfId="8210"/>
    <cellStyle name="Normal 61 4 3 2 2 2" xfId="17251"/>
    <cellStyle name="Normal 61 4 3 2 3" xfId="12738"/>
    <cellStyle name="Normal 61 4 3 3" xfId="6173"/>
    <cellStyle name="Normal 61 4 3 3 2" xfId="15214"/>
    <cellStyle name="Normal 61 4 3 4" xfId="10701"/>
    <cellStyle name="Normal 61 4 4" xfId="3692"/>
    <cellStyle name="Normal 61 4 4 2" xfId="8207"/>
    <cellStyle name="Normal 61 4 4 2 2" xfId="17248"/>
    <cellStyle name="Normal 61 4 4 3" xfId="12735"/>
    <cellStyle name="Normal 61 4 5" xfId="5045"/>
    <cellStyle name="Normal 61 4 5 2" xfId="14086"/>
    <cellStyle name="Normal 61 4 6" xfId="9573"/>
    <cellStyle name="Normal 61 5" xfId="668"/>
    <cellStyle name="Normal 61 5 2" xfId="1838"/>
    <cellStyle name="Normal 61 5 2 2" xfId="3697"/>
    <cellStyle name="Normal 61 5 2 2 2" xfId="8212"/>
    <cellStyle name="Normal 61 5 2 2 2 2" xfId="17253"/>
    <cellStyle name="Normal 61 5 2 2 3" xfId="12740"/>
    <cellStyle name="Normal 61 5 2 3" xfId="6361"/>
    <cellStyle name="Normal 61 5 2 3 2" xfId="15402"/>
    <cellStyle name="Normal 61 5 2 4" xfId="10889"/>
    <cellStyle name="Normal 61 5 3" xfId="3696"/>
    <cellStyle name="Normal 61 5 3 2" xfId="8211"/>
    <cellStyle name="Normal 61 5 3 2 2" xfId="17252"/>
    <cellStyle name="Normal 61 5 3 3" xfId="12739"/>
    <cellStyle name="Normal 61 5 4" xfId="5233"/>
    <cellStyle name="Normal 61 5 4 2" xfId="14274"/>
    <cellStyle name="Normal 61 5 5" xfId="9761"/>
    <cellStyle name="Normal 61 6" xfId="1274"/>
    <cellStyle name="Normal 61 6 2" xfId="3698"/>
    <cellStyle name="Normal 61 6 2 2" xfId="8213"/>
    <cellStyle name="Normal 61 6 2 2 2" xfId="17254"/>
    <cellStyle name="Normal 61 6 2 3" xfId="12741"/>
    <cellStyle name="Normal 61 6 3" xfId="5797"/>
    <cellStyle name="Normal 61 6 3 2" xfId="14838"/>
    <cellStyle name="Normal 61 6 4" xfId="10325"/>
    <cellStyle name="Normal 61 7" xfId="3675"/>
    <cellStyle name="Normal 61 7 2" xfId="8190"/>
    <cellStyle name="Normal 61 7 2 2" xfId="17231"/>
    <cellStyle name="Normal 61 7 3" xfId="12718"/>
    <cellStyle name="Normal 61 8" xfId="4669"/>
    <cellStyle name="Normal 61 8 2" xfId="13710"/>
    <cellStyle name="Normal 61 9" xfId="9197"/>
    <cellStyle name="Normal 62" xfId="62"/>
    <cellStyle name="Normal 62 2" xfId="158"/>
    <cellStyle name="Normal 62 2 2" xfId="387"/>
    <cellStyle name="Normal 62 2 2 2" xfId="951"/>
    <cellStyle name="Normal 62 2 2 2 2" xfId="2121"/>
    <cellStyle name="Normal 62 2 2 2 2 2" xfId="3703"/>
    <cellStyle name="Normal 62 2 2 2 2 2 2" xfId="8218"/>
    <cellStyle name="Normal 62 2 2 2 2 2 2 2" xfId="17259"/>
    <cellStyle name="Normal 62 2 2 2 2 2 3" xfId="12746"/>
    <cellStyle name="Normal 62 2 2 2 2 3" xfId="6644"/>
    <cellStyle name="Normal 62 2 2 2 2 3 2" xfId="15685"/>
    <cellStyle name="Normal 62 2 2 2 2 4" xfId="11172"/>
    <cellStyle name="Normal 62 2 2 2 3" xfId="3702"/>
    <cellStyle name="Normal 62 2 2 2 3 2" xfId="8217"/>
    <cellStyle name="Normal 62 2 2 2 3 2 2" xfId="17258"/>
    <cellStyle name="Normal 62 2 2 2 3 3" xfId="12745"/>
    <cellStyle name="Normal 62 2 2 2 4" xfId="5516"/>
    <cellStyle name="Normal 62 2 2 2 4 2" xfId="14557"/>
    <cellStyle name="Normal 62 2 2 2 5" xfId="10044"/>
    <cellStyle name="Normal 62 2 2 3" xfId="1557"/>
    <cellStyle name="Normal 62 2 2 3 2" xfId="3704"/>
    <cellStyle name="Normal 62 2 2 3 2 2" xfId="8219"/>
    <cellStyle name="Normal 62 2 2 3 2 2 2" xfId="17260"/>
    <cellStyle name="Normal 62 2 2 3 2 3" xfId="12747"/>
    <cellStyle name="Normal 62 2 2 3 3" xfId="6080"/>
    <cellStyle name="Normal 62 2 2 3 3 2" xfId="15121"/>
    <cellStyle name="Normal 62 2 2 3 4" xfId="10608"/>
    <cellStyle name="Normal 62 2 2 4" xfId="3701"/>
    <cellStyle name="Normal 62 2 2 4 2" xfId="8216"/>
    <cellStyle name="Normal 62 2 2 4 2 2" xfId="17257"/>
    <cellStyle name="Normal 62 2 2 4 3" xfId="12744"/>
    <cellStyle name="Normal 62 2 2 5" xfId="4952"/>
    <cellStyle name="Normal 62 2 2 5 2" xfId="13993"/>
    <cellStyle name="Normal 62 2 2 6" xfId="9480"/>
    <cellStyle name="Normal 62 2 3" xfId="575"/>
    <cellStyle name="Normal 62 2 3 2" xfId="1139"/>
    <cellStyle name="Normal 62 2 3 2 2" xfId="2309"/>
    <cellStyle name="Normal 62 2 3 2 2 2" xfId="3707"/>
    <cellStyle name="Normal 62 2 3 2 2 2 2" xfId="8222"/>
    <cellStyle name="Normal 62 2 3 2 2 2 2 2" xfId="17263"/>
    <cellStyle name="Normal 62 2 3 2 2 2 3" xfId="12750"/>
    <cellStyle name="Normal 62 2 3 2 2 3" xfId="6832"/>
    <cellStyle name="Normal 62 2 3 2 2 3 2" xfId="15873"/>
    <cellStyle name="Normal 62 2 3 2 2 4" xfId="11360"/>
    <cellStyle name="Normal 62 2 3 2 3" xfId="3706"/>
    <cellStyle name="Normal 62 2 3 2 3 2" xfId="8221"/>
    <cellStyle name="Normal 62 2 3 2 3 2 2" xfId="17262"/>
    <cellStyle name="Normal 62 2 3 2 3 3" xfId="12749"/>
    <cellStyle name="Normal 62 2 3 2 4" xfId="5704"/>
    <cellStyle name="Normal 62 2 3 2 4 2" xfId="14745"/>
    <cellStyle name="Normal 62 2 3 2 5" xfId="10232"/>
    <cellStyle name="Normal 62 2 3 3" xfId="1745"/>
    <cellStyle name="Normal 62 2 3 3 2" xfId="3708"/>
    <cellStyle name="Normal 62 2 3 3 2 2" xfId="8223"/>
    <cellStyle name="Normal 62 2 3 3 2 2 2" xfId="17264"/>
    <cellStyle name="Normal 62 2 3 3 2 3" xfId="12751"/>
    <cellStyle name="Normal 62 2 3 3 3" xfId="6268"/>
    <cellStyle name="Normal 62 2 3 3 3 2" xfId="15309"/>
    <cellStyle name="Normal 62 2 3 3 4" xfId="10796"/>
    <cellStyle name="Normal 62 2 3 4" xfId="3705"/>
    <cellStyle name="Normal 62 2 3 4 2" xfId="8220"/>
    <cellStyle name="Normal 62 2 3 4 2 2" xfId="17261"/>
    <cellStyle name="Normal 62 2 3 4 3" xfId="12748"/>
    <cellStyle name="Normal 62 2 3 5" xfId="5140"/>
    <cellStyle name="Normal 62 2 3 5 2" xfId="14181"/>
    <cellStyle name="Normal 62 2 3 6" xfId="9668"/>
    <cellStyle name="Normal 62 2 4" xfId="763"/>
    <cellStyle name="Normal 62 2 4 2" xfId="1933"/>
    <cellStyle name="Normal 62 2 4 2 2" xfId="3710"/>
    <cellStyle name="Normal 62 2 4 2 2 2" xfId="8225"/>
    <cellStyle name="Normal 62 2 4 2 2 2 2" xfId="17266"/>
    <cellStyle name="Normal 62 2 4 2 2 3" xfId="12753"/>
    <cellStyle name="Normal 62 2 4 2 3" xfId="6456"/>
    <cellStyle name="Normal 62 2 4 2 3 2" xfId="15497"/>
    <cellStyle name="Normal 62 2 4 2 4" xfId="10984"/>
    <cellStyle name="Normal 62 2 4 3" xfId="3709"/>
    <cellStyle name="Normal 62 2 4 3 2" xfId="8224"/>
    <cellStyle name="Normal 62 2 4 3 2 2" xfId="17265"/>
    <cellStyle name="Normal 62 2 4 3 3" xfId="12752"/>
    <cellStyle name="Normal 62 2 4 4" xfId="5328"/>
    <cellStyle name="Normal 62 2 4 4 2" xfId="14369"/>
    <cellStyle name="Normal 62 2 4 5" xfId="9856"/>
    <cellStyle name="Normal 62 2 5" xfId="1369"/>
    <cellStyle name="Normal 62 2 5 2" xfId="3711"/>
    <cellStyle name="Normal 62 2 5 2 2" xfId="8226"/>
    <cellStyle name="Normal 62 2 5 2 2 2" xfId="17267"/>
    <cellStyle name="Normal 62 2 5 2 3" xfId="12754"/>
    <cellStyle name="Normal 62 2 5 3" xfId="5892"/>
    <cellStyle name="Normal 62 2 5 3 2" xfId="14933"/>
    <cellStyle name="Normal 62 2 5 4" xfId="10420"/>
    <cellStyle name="Normal 62 2 6" xfId="3700"/>
    <cellStyle name="Normal 62 2 6 2" xfId="8215"/>
    <cellStyle name="Normal 62 2 6 2 2" xfId="17256"/>
    <cellStyle name="Normal 62 2 6 3" xfId="12743"/>
    <cellStyle name="Normal 62 2 7" xfId="4764"/>
    <cellStyle name="Normal 62 2 7 2" xfId="13805"/>
    <cellStyle name="Normal 62 2 8" xfId="9292"/>
    <cellStyle name="Normal 62 3" xfId="293"/>
    <cellStyle name="Normal 62 3 2" xfId="857"/>
    <cellStyle name="Normal 62 3 2 2" xfId="2027"/>
    <cellStyle name="Normal 62 3 2 2 2" xfId="3714"/>
    <cellStyle name="Normal 62 3 2 2 2 2" xfId="8229"/>
    <cellStyle name="Normal 62 3 2 2 2 2 2" xfId="17270"/>
    <cellStyle name="Normal 62 3 2 2 2 3" xfId="12757"/>
    <cellStyle name="Normal 62 3 2 2 3" xfId="6550"/>
    <cellStyle name="Normal 62 3 2 2 3 2" xfId="15591"/>
    <cellStyle name="Normal 62 3 2 2 4" xfId="11078"/>
    <cellStyle name="Normal 62 3 2 3" xfId="3713"/>
    <cellStyle name="Normal 62 3 2 3 2" xfId="8228"/>
    <cellStyle name="Normal 62 3 2 3 2 2" xfId="17269"/>
    <cellStyle name="Normal 62 3 2 3 3" xfId="12756"/>
    <cellStyle name="Normal 62 3 2 4" xfId="5422"/>
    <cellStyle name="Normal 62 3 2 4 2" xfId="14463"/>
    <cellStyle name="Normal 62 3 2 5" xfId="9950"/>
    <cellStyle name="Normal 62 3 3" xfId="1463"/>
    <cellStyle name="Normal 62 3 3 2" xfId="3715"/>
    <cellStyle name="Normal 62 3 3 2 2" xfId="8230"/>
    <cellStyle name="Normal 62 3 3 2 2 2" xfId="17271"/>
    <cellStyle name="Normal 62 3 3 2 3" xfId="12758"/>
    <cellStyle name="Normal 62 3 3 3" xfId="5986"/>
    <cellStyle name="Normal 62 3 3 3 2" xfId="15027"/>
    <cellStyle name="Normal 62 3 3 4" xfId="10514"/>
    <cellStyle name="Normal 62 3 4" xfId="3712"/>
    <cellStyle name="Normal 62 3 4 2" xfId="8227"/>
    <cellStyle name="Normal 62 3 4 2 2" xfId="17268"/>
    <cellStyle name="Normal 62 3 4 3" xfId="12755"/>
    <cellStyle name="Normal 62 3 5" xfId="4858"/>
    <cellStyle name="Normal 62 3 5 2" xfId="13899"/>
    <cellStyle name="Normal 62 3 6" xfId="9386"/>
    <cellStyle name="Normal 62 4" xfId="481"/>
    <cellStyle name="Normal 62 4 2" xfId="1045"/>
    <cellStyle name="Normal 62 4 2 2" xfId="2215"/>
    <cellStyle name="Normal 62 4 2 2 2" xfId="3718"/>
    <cellStyle name="Normal 62 4 2 2 2 2" xfId="8233"/>
    <cellStyle name="Normal 62 4 2 2 2 2 2" xfId="17274"/>
    <cellStyle name="Normal 62 4 2 2 2 3" xfId="12761"/>
    <cellStyle name="Normal 62 4 2 2 3" xfId="6738"/>
    <cellStyle name="Normal 62 4 2 2 3 2" xfId="15779"/>
    <cellStyle name="Normal 62 4 2 2 4" xfId="11266"/>
    <cellStyle name="Normal 62 4 2 3" xfId="3717"/>
    <cellStyle name="Normal 62 4 2 3 2" xfId="8232"/>
    <cellStyle name="Normal 62 4 2 3 2 2" xfId="17273"/>
    <cellStyle name="Normal 62 4 2 3 3" xfId="12760"/>
    <cellStyle name="Normal 62 4 2 4" xfId="5610"/>
    <cellStyle name="Normal 62 4 2 4 2" xfId="14651"/>
    <cellStyle name="Normal 62 4 2 5" xfId="10138"/>
    <cellStyle name="Normal 62 4 3" xfId="1651"/>
    <cellStyle name="Normal 62 4 3 2" xfId="3719"/>
    <cellStyle name="Normal 62 4 3 2 2" xfId="8234"/>
    <cellStyle name="Normal 62 4 3 2 2 2" xfId="17275"/>
    <cellStyle name="Normal 62 4 3 2 3" xfId="12762"/>
    <cellStyle name="Normal 62 4 3 3" xfId="6174"/>
    <cellStyle name="Normal 62 4 3 3 2" xfId="15215"/>
    <cellStyle name="Normal 62 4 3 4" xfId="10702"/>
    <cellStyle name="Normal 62 4 4" xfId="3716"/>
    <cellStyle name="Normal 62 4 4 2" xfId="8231"/>
    <cellStyle name="Normal 62 4 4 2 2" xfId="17272"/>
    <cellStyle name="Normal 62 4 4 3" xfId="12759"/>
    <cellStyle name="Normal 62 4 5" xfId="5046"/>
    <cellStyle name="Normal 62 4 5 2" xfId="14087"/>
    <cellStyle name="Normal 62 4 6" xfId="9574"/>
    <cellStyle name="Normal 62 5" xfId="669"/>
    <cellStyle name="Normal 62 5 2" xfId="1839"/>
    <cellStyle name="Normal 62 5 2 2" xfId="3721"/>
    <cellStyle name="Normal 62 5 2 2 2" xfId="8236"/>
    <cellStyle name="Normal 62 5 2 2 2 2" xfId="17277"/>
    <cellStyle name="Normal 62 5 2 2 3" xfId="12764"/>
    <cellStyle name="Normal 62 5 2 3" xfId="6362"/>
    <cellStyle name="Normal 62 5 2 3 2" xfId="15403"/>
    <cellStyle name="Normal 62 5 2 4" xfId="10890"/>
    <cellStyle name="Normal 62 5 3" xfId="3720"/>
    <cellStyle name="Normal 62 5 3 2" xfId="8235"/>
    <cellStyle name="Normal 62 5 3 2 2" xfId="17276"/>
    <cellStyle name="Normal 62 5 3 3" xfId="12763"/>
    <cellStyle name="Normal 62 5 4" xfId="5234"/>
    <cellStyle name="Normal 62 5 4 2" xfId="14275"/>
    <cellStyle name="Normal 62 5 5" xfId="9762"/>
    <cellStyle name="Normal 62 6" xfId="1275"/>
    <cellStyle name="Normal 62 6 2" xfId="3722"/>
    <cellStyle name="Normal 62 6 2 2" xfId="8237"/>
    <cellStyle name="Normal 62 6 2 2 2" xfId="17278"/>
    <cellStyle name="Normal 62 6 2 3" xfId="12765"/>
    <cellStyle name="Normal 62 6 3" xfId="5798"/>
    <cellStyle name="Normal 62 6 3 2" xfId="14839"/>
    <cellStyle name="Normal 62 6 4" xfId="10326"/>
    <cellStyle name="Normal 62 7" xfId="3699"/>
    <cellStyle name="Normal 62 7 2" xfId="8214"/>
    <cellStyle name="Normal 62 7 2 2" xfId="17255"/>
    <cellStyle name="Normal 62 7 3" xfId="12742"/>
    <cellStyle name="Normal 62 8" xfId="4670"/>
    <cellStyle name="Normal 62 8 2" xfId="13711"/>
    <cellStyle name="Normal 62 9" xfId="9198"/>
    <cellStyle name="Normal 63" xfId="63"/>
    <cellStyle name="Normal 63 2" xfId="159"/>
    <cellStyle name="Normal 63 2 2" xfId="388"/>
    <cellStyle name="Normal 63 2 2 2" xfId="952"/>
    <cellStyle name="Normal 63 2 2 2 2" xfId="2122"/>
    <cellStyle name="Normal 63 2 2 2 2 2" xfId="3727"/>
    <cellStyle name="Normal 63 2 2 2 2 2 2" xfId="8242"/>
    <cellStyle name="Normal 63 2 2 2 2 2 2 2" xfId="17283"/>
    <cellStyle name="Normal 63 2 2 2 2 2 3" xfId="12770"/>
    <cellStyle name="Normal 63 2 2 2 2 3" xfId="6645"/>
    <cellStyle name="Normal 63 2 2 2 2 3 2" xfId="15686"/>
    <cellStyle name="Normal 63 2 2 2 2 4" xfId="11173"/>
    <cellStyle name="Normal 63 2 2 2 3" xfId="3726"/>
    <cellStyle name="Normal 63 2 2 2 3 2" xfId="8241"/>
    <cellStyle name="Normal 63 2 2 2 3 2 2" xfId="17282"/>
    <cellStyle name="Normal 63 2 2 2 3 3" xfId="12769"/>
    <cellStyle name="Normal 63 2 2 2 4" xfId="5517"/>
    <cellStyle name="Normal 63 2 2 2 4 2" xfId="14558"/>
    <cellStyle name="Normal 63 2 2 2 5" xfId="10045"/>
    <cellStyle name="Normal 63 2 2 3" xfId="1558"/>
    <cellStyle name="Normal 63 2 2 3 2" xfId="3728"/>
    <cellStyle name="Normal 63 2 2 3 2 2" xfId="8243"/>
    <cellStyle name="Normal 63 2 2 3 2 2 2" xfId="17284"/>
    <cellStyle name="Normal 63 2 2 3 2 3" xfId="12771"/>
    <cellStyle name="Normal 63 2 2 3 3" xfId="6081"/>
    <cellStyle name="Normal 63 2 2 3 3 2" xfId="15122"/>
    <cellStyle name="Normal 63 2 2 3 4" xfId="10609"/>
    <cellStyle name="Normal 63 2 2 4" xfId="3725"/>
    <cellStyle name="Normal 63 2 2 4 2" xfId="8240"/>
    <cellStyle name="Normal 63 2 2 4 2 2" xfId="17281"/>
    <cellStyle name="Normal 63 2 2 4 3" xfId="12768"/>
    <cellStyle name="Normal 63 2 2 5" xfId="4953"/>
    <cellStyle name="Normal 63 2 2 5 2" xfId="13994"/>
    <cellStyle name="Normal 63 2 2 6" xfId="9481"/>
    <cellStyle name="Normal 63 2 3" xfId="576"/>
    <cellStyle name="Normal 63 2 3 2" xfId="1140"/>
    <cellStyle name="Normal 63 2 3 2 2" xfId="2310"/>
    <cellStyle name="Normal 63 2 3 2 2 2" xfId="3731"/>
    <cellStyle name="Normal 63 2 3 2 2 2 2" xfId="8246"/>
    <cellStyle name="Normal 63 2 3 2 2 2 2 2" xfId="17287"/>
    <cellStyle name="Normal 63 2 3 2 2 2 3" xfId="12774"/>
    <cellStyle name="Normal 63 2 3 2 2 3" xfId="6833"/>
    <cellStyle name="Normal 63 2 3 2 2 3 2" xfId="15874"/>
    <cellStyle name="Normal 63 2 3 2 2 4" xfId="11361"/>
    <cellStyle name="Normal 63 2 3 2 3" xfId="3730"/>
    <cellStyle name="Normal 63 2 3 2 3 2" xfId="8245"/>
    <cellStyle name="Normal 63 2 3 2 3 2 2" xfId="17286"/>
    <cellStyle name="Normal 63 2 3 2 3 3" xfId="12773"/>
    <cellStyle name="Normal 63 2 3 2 4" xfId="5705"/>
    <cellStyle name="Normal 63 2 3 2 4 2" xfId="14746"/>
    <cellStyle name="Normal 63 2 3 2 5" xfId="10233"/>
    <cellStyle name="Normal 63 2 3 3" xfId="1746"/>
    <cellStyle name="Normal 63 2 3 3 2" xfId="3732"/>
    <cellStyle name="Normal 63 2 3 3 2 2" xfId="8247"/>
    <cellStyle name="Normal 63 2 3 3 2 2 2" xfId="17288"/>
    <cellStyle name="Normal 63 2 3 3 2 3" xfId="12775"/>
    <cellStyle name="Normal 63 2 3 3 3" xfId="6269"/>
    <cellStyle name="Normal 63 2 3 3 3 2" xfId="15310"/>
    <cellStyle name="Normal 63 2 3 3 4" xfId="10797"/>
    <cellStyle name="Normal 63 2 3 4" xfId="3729"/>
    <cellStyle name="Normal 63 2 3 4 2" xfId="8244"/>
    <cellStyle name="Normal 63 2 3 4 2 2" xfId="17285"/>
    <cellStyle name="Normal 63 2 3 4 3" xfId="12772"/>
    <cellStyle name="Normal 63 2 3 5" xfId="5141"/>
    <cellStyle name="Normal 63 2 3 5 2" xfId="14182"/>
    <cellStyle name="Normal 63 2 3 6" xfId="9669"/>
    <cellStyle name="Normal 63 2 4" xfId="764"/>
    <cellStyle name="Normal 63 2 4 2" xfId="1934"/>
    <cellStyle name="Normal 63 2 4 2 2" xfId="3734"/>
    <cellStyle name="Normal 63 2 4 2 2 2" xfId="8249"/>
    <cellStyle name="Normal 63 2 4 2 2 2 2" xfId="17290"/>
    <cellStyle name="Normal 63 2 4 2 2 3" xfId="12777"/>
    <cellStyle name="Normal 63 2 4 2 3" xfId="6457"/>
    <cellStyle name="Normal 63 2 4 2 3 2" xfId="15498"/>
    <cellStyle name="Normal 63 2 4 2 4" xfId="10985"/>
    <cellStyle name="Normal 63 2 4 3" xfId="3733"/>
    <cellStyle name="Normal 63 2 4 3 2" xfId="8248"/>
    <cellStyle name="Normal 63 2 4 3 2 2" xfId="17289"/>
    <cellStyle name="Normal 63 2 4 3 3" xfId="12776"/>
    <cellStyle name="Normal 63 2 4 4" xfId="5329"/>
    <cellStyle name="Normal 63 2 4 4 2" xfId="14370"/>
    <cellStyle name="Normal 63 2 4 5" xfId="9857"/>
    <cellStyle name="Normal 63 2 5" xfId="1370"/>
    <cellStyle name="Normal 63 2 5 2" xfId="3735"/>
    <cellStyle name="Normal 63 2 5 2 2" xfId="8250"/>
    <cellStyle name="Normal 63 2 5 2 2 2" xfId="17291"/>
    <cellStyle name="Normal 63 2 5 2 3" xfId="12778"/>
    <cellStyle name="Normal 63 2 5 3" xfId="5893"/>
    <cellStyle name="Normal 63 2 5 3 2" xfId="14934"/>
    <cellStyle name="Normal 63 2 5 4" xfId="10421"/>
    <cellStyle name="Normal 63 2 6" xfId="3724"/>
    <cellStyle name="Normal 63 2 6 2" xfId="8239"/>
    <cellStyle name="Normal 63 2 6 2 2" xfId="17280"/>
    <cellStyle name="Normal 63 2 6 3" xfId="12767"/>
    <cellStyle name="Normal 63 2 7" xfId="4765"/>
    <cellStyle name="Normal 63 2 7 2" xfId="13806"/>
    <cellStyle name="Normal 63 2 8" xfId="9293"/>
    <cellStyle name="Normal 63 3" xfId="294"/>
    <cellStyle name="Normal 63 3 2" xfId="858"/>
    <cellStyle name="Normal 63 3 2 2" xfId="2028"/>
    <cellStyle name="Normal 63 3 2 2 2" xfId="3738"/>
    <cellStyle name="Normal 63 3 2 2 2 2" xfId="8253"/>
    <cellStyle name="Normal 63 3 2 2 2 2 2" xfId="17294"/>
    <cellStyle name="Normal 63 3 2 2 2 3" xfId="12781"/>
    <cellStyle name="Normal 63 3 2 2 3" xfId="6551"/>
    <cellStyle name="Normal 63 3 2 2 3 2" xfId="15592"/>
    <cellStyle name="Normal 63 3 2 2 4" xfId="11079"/>
    <cellStyle name="Normal 63 3 2 3" xfId="3737"/>
    <cellStyle name="Normal 63 3 2 3 2" xfId="8252"/>
    <cellStyle name="Normal 63 3 2 3 2 2" xfId="17293"/>
    <cellStyle name="Normal 63 3 2 3 3" xfId="12780"/>
    <cellStyle name="Normal 63 3 2 4" xfId="5423"/>
    <cellStyle name="Normal 63 3 2 4 2" xfId="14464"/>
    <cellStyle name="Normal 63 3 2 5" xfId="9951"/>
    <cellStyle name="Normal 63 3 3" xfId="1464"/>
    <cellStyle name="Normal 63 3 3 2" xfId="3739"/>
    <cellStyle name="Normal 63 3 3 2 2" xfId="8254"/>
    <cellStyle name="Normal 63 3 3 2 2 2" xfId="17295"/>
    <cellStyle name="Normal 63 3 3 2 3" xfId="12782"/>
    <cellStyle name="Normal 63 3 3 3" xfId="5987"/>
    <cellStyle name="Normal 63 3 3 3 2" xfId="15028"/>
    <cellStyle name="Normal 63 3 3 4" xfId="10515"/>
    <cellStyle name="Normal 63 3 4" xfId="3736"/>
    <cellStyle name="Normal 63 3 4 2" xfId="8251"/>
    <cellStyle name="Normal 63 3 4 2 2" xfId="17292"/>
    <cellStyle name="Normal 63 3 4 3" xfId="12779"/>
    <cellStyle name="Normal 63 3 5" xfId="4859"/>
    <cellStyle name="Normal 63 3 5 2" xfId="13900"/>
    <cellStyle name="Normal 63 3 6" xfId="9387"/>
    <cellStyle name="Normal 63 4" xfId="482"/>
    <cellStyle name="Normal 63 4 2" xfId="1046"/>
    <cellStyle name="Normal 63 4 2 2" xfId="2216"/>
    <cellStyle name="Normal 63 4 2 2 2" xfId="3742"/>
    <cellStyle name="Normal 63 4 2 2 2 2" xfId="8257"/>
    <cellStyle name="Normal 63 4 2 2 2 2 2" xfId="17298"/>
    <cellStyle name="Normal 63 4 2 2 2 3" xfId="12785"/>
    <cellStyle name="Normal 63 4 2 2 3" xfId="6739"/>
    <cellStyle name="Normal 63 4 2 2 3 2" xfId="15780"/>
    <cellStyle name="Normal 63 4 2 2 4" xfId="11267"/>
    <cellStyle name="Normal 63 4 2 3" xfId="3741"/>
    <cellStyle name="Normal 63 4 2 3 2" xfId="8256"/>
    <cellStyle name="Normal 63 4 2 3 2 2" xfId="17297"/>
    <cellStyle name="Normal 63 4 2 3 3" xfId="12784"/>
    <cellStyle name="Normal 63 4 2 4" xfId="5611"/>
    <cellStyle name="Normal 63 4 2 4 2" xfId="14652"/>
    <cellStyle name="Normal 63 4 2 5" xfId="10139"/>
    <cellStyle name="Normal 63 4 3" xfId="1652"/>
    <cellStyle name="Normal 63 4 3 2" xfId="3743"/>
    <cellStyle name="Normal 63 4 3 2 2" xfId="8258"/>
    <cellStyle name="Normal 63 4 3 2 2 2" xfId="17299"/>
    <cellStyle name="Normal 63 4 3 2 3" xfId="12786"/>
    <cellStyle name="Normal 63 4 3 3" xfId="6175"/>
    <cellStyle name="Normal 63 4 3 3 2" xfId="15216"/>
    <cellStyle name="Normal 63 4 3 4" xfId="10703"/>
    <cellStyle name="Normal 63 4 4" xfId="3740"/>
    <cellStyle name="Normal 63 4 4 2" xfId="8255"/>
    <cellStyle name="Normal 63 4 4 2 2" xfId="17296"/>
    <cellStyle name="Normal 63 4 4 3" xfId="12783"/>
    <cellStyle name="Normal 63 4 5" xfId="5047"/>
    <cellStyle name="Normal 63 4 5 2" xfId="14088"/>
    <cellStyle name="Normal 63 4 6" xfId="9575"/>
    <cellStyle name="Normal 63 5" xfId="670"/>
    <cellStyle name="Normal 63 5 2" xfId="1840"/>
    <cellStyle name="Normal 63 5 2 2" xfId="3745"/>
    <cellStyle name="Normal 63 5 2 2 2" xfId="8260"/>
    <cellStyle name="Normal 63 5 2 2 2 2" xfId="17301"/>
    <cellStyle name="Normal 63 5 2 2 3" xfId="12788"/>
    <cellStyle name="Normal 63 5 2 3" xfId="6363"/>
    <cellStyle name="Normal 63 5 2 3 2" xfId="15404"/>
    <cellStyle name="Normal 63 5 2 4" xfId="10891"/>
    <cellStyle name="Normal 63 5 3" xfId="3744"/>
    <cellStyle name="Normal 63 5 3 2" xfId="8259"/>
    <cellStyle name="Normal 63 5 3 2 2" xfId="17300"/>
    <cellStyle name="Normal 63 5 3 3" xfId="12787"/>
    <cellStyle name="Normal 63 5 4" xfId="5235"/>
    <cellStyle name="Normal 63 5 4 2" xfId="14276"/>
    <cellStyle name="Normal 63 5 5" xfId="9763"/>
    <cellStyle name="Normal 63 6" xfId="1276"/>
    <cellStyle name="Normal 63 6 2" xfId="3746"/>
    <cellStyle name="Normal 63 6 2 2" xfId="8261"/>
    <cellStyle name="Normal 63 6 2 2 2" xfId="17302"/>
    <cellStyle name="Normal 63 6 2 3" xfId="12789"/>
    <cellStyle name="Normal 63 6 3" xfId="5799"/>
    <cellStyle name="Normal 63 6 3 2" xfId="14840"/>
    <cellStyle name="Normal 63 6 4" xfId="10327"/>
    <cellStyle name="Normal 63 7" xfId="3723"/>
    <cellStyle name="Normal 63 7 2" xfId="8238"/>
    <cellStyle name="Normal 63 7 2 2" xfId="17279"/>
    <cellStyle name="Normal 63 7 3" xfId="12766"/>
    <cellStyle name="Normal 63 8" xfId="4671"/>
    <cellStyle name="Normal 63 8 2" xfId="13712"/>
    <cellStyle name="Normal 63 9" xfId="9199"/>
    <cellStyle name="Normal 64" xfId="64"/>
    <cellStyle name="Normal 64 2" xfId="160"/>
    <cellStyle name="Normal 64 2 2" xfId="389"/>
    <cellStyle name="Normal 64 2 2 2" xfId="953"/>
    <cellStyle name="Normal 64 2 2 2 2" xfId="2123"/>
    <cellStyle name="Normal 64 2 2 2 2 2" xfId="3751"/>
    <cellStyle name="Normal 64 2 2 2 2 2 2" xfId="8266"/>
    <cellStyle name="Normal 64 2 2 2 2 2 2 2" xfId="17307"/>
    <cellStyle name="Normal 64 2 2 2 2 2 3" xfId="12794"/>
    <cellStyle name="Normal 64 2 2 2 2 3" xfId="6646"/>
    <cellStyle name="Normal 64 2 2 2 2 3 2" xfId="15687"/>
    <cellStyle name="Normal 64 2 2 2 2 4" xfId="11174"/>
    <cellStyle name="Normal 64 2 2 2 3" xfId="3750"/>
    <cellStyle name="Normal 64 2 2 2 3 2" xfId="8265"/>
    <cellStyle name="Normal 64 2 2 2 3 2 2" xfId="17306"/>
    <cellStyle name="Normal 64 2 2 2 3 3" xfId="12793"/>
    <cellStyle name="Normal 64 2 2 2 4" xfId="5518"/>
    <cellStyle name="Normal 64 2 2 2 4 2" xfId="14559"/>
    <cellStyle name="Normal 64 2 2 2 5" xfId="10046"/>
    <cellStyle name="Normal 64 2 2 3" xfId="1559"/>
    <cellStyle name="Normal 64 2 2 3 2" xfId="3752"/>
    <cellStyle name="Normal 64 2 2 3 2 2" xfId="8267"/>
    <cellStyle name="Normal 64 2 2 3 2 2 2" xfId="17308"/>
    <cellStyle name="Normal 64 2 2 3 2 3" xfId="12795"/>
    <cellStyle name="Normal 64 2 2 3 3" xfId="6082"/>
    <cellStyle name="Normal 64 2 2 3 3 2" xfId="15123"/>
    <cellStyle name="Normal 64 2 2 3 4" xfId="10610"/>
    <cellStyle name="Normal 64 2 2 4" xfId="3749"/>
    <cellStyle name="Normal 64 2 2 4 2" xfId="8264"/>
    <cellStyle name="Normal 64 2 2 4 2 2" xfId="17305"/>
    <cellStyle name="Normal 64 2 2 4 3" xfId="12792"/>
    <cellStyle name="Normal 64 2 2 5" xfId="4954"/>
    <cellStyle name="Normal 64 2 2 5 2" xfId="13995"/>
    <cellStyle name="Normal 64 2 2 6" xfId="9482"/>
    <cellStyle name="Normal 64 2 3" xfId="577"/>
    <cellStyle name="Normal 64 2 3 2" xfId="1141"/>
    <cellStyle name="Normal 64 2 3 2 2" xfId="2311"/>
    <cellStyle name="Normal 64 2 3 2 2 2" xfId="3755"/>
    <cellStyle name="Normal 64 2 3 2 2 2 2" xfId="8270"/>
    <cellStyle name="Normal 64 2 3 2 2 2 2 2" xfId="17311"/>
    <cellStyle name="Normal 64 2 3 2 2 2 3" xfId="12798"/>
    <cellStyle name="Normal 64 2 3 2 2 3" xfId="6834"/>
    <cellStyle name="Normal 64 2 3 2 2 3 2" xfId="15875"/>
    <cellStyle name="Normal 64 2 3 2 2 4" xfId="11362"/>
    <cellStyle name="Normal 64 2 3 2 3" xfId="3754"/>
    <cellStyle name="Normal 64 2 3 2 3 2" xfId="8269"/>
    <cellStyle name="Normal 64 2 3 2 3 2 2" xfId="17310"/>
    <cellStyle name="Normal 64 2 3 2 3 3" xfId="12797"/>
    <cellStyle name="Normal 64 2 3 2 4" xfId="5706"/>
    <cellStyle name="Normal 64 2 3 2 4 2" xfId="14747"/>
    <cellStyle name="Normal 64 2 3 2 5" xfId="10234"/>
    <cellStyle name="Normal 64 2 3 3" xfId="1747"/>
    <cellStyle name="Normal 64 2 3 3 2" xfId="3756"/>
    <cellStyle name="Normal 64 2 3 3 2 2" xfId="8271"/>
    <cellStyle name="Normal 64 2 3 3 2 2 2" xfId="17312"/>
    <cellStyle name="Normal 64 2 3 3 2 3" xfId="12799"/>
    <cellStyle name="Normal 64 2 3 3 3" xfId="6270"/>
    <cellStyle name="Normal 64 2 3 3 3 2" xfId="15311"/>
    <cellStyle name="Normal 64 2 3 3 4" xfId="10798"/>
    <cellStyle name="Normal 64 2 3 4" xfId="3753"/>
    <cellStyle name="Normal 64 2 3 4 2" xfId="8268"/>
    <cellStyle name="Normal 64 2 3 4 2 2" xfId="17309"/>
    <cellStyle name="Normal 64 2 3 4 3" xfId="12796"/>
    <cellStyle name="Normal 64 2 3 5" xfId="5142"/>
    <cellStyle name="Normal 64 2 3 5 2" xfId="14183"/>
    <cellStyle name="Normal 64 2 3 6" xfId="9670"/>
    <cellStyle name="Normal 64 2 4" xfId="765"/>
    <cellStyle name="Normal 64 2 4 2" xfId="1935"/>
    <cellStyle name="Normal 64 2 4 2 2" xfId="3758"/>
    <cellStyle name="Normal 64 2 4 2 2 2" xfId="8273"/>
    <cellStyle name="Normal 64 2 4 2 2 2 2" xfId="17314"/>
    <cellStyle name="Normal 64 2 4 2 2 3" xfId="12801"/>
    <cellStyle name="Normal 64 2 4 2 3" xfId="6458"/>
    <cellStyle name="Normal 64 2 4 2 3 2" xfId="15499"/>
    <cellStyle name="Normal 64 2 4 2 4" xfId="10986"/>
    <cellStyle name="Normal 64 2 4 3" xfId="3757"/>
    <cellStyle name="Normal 64 2 4 3 2" xfId="8272"/>
    <cellStyle name="Normal 64 2 4 3 2 2" xfId="17313"/>
    <cellStyle name="Normal 64 2 4 3 3" xfId="12800"/>
    <cellStyle name="Normal 64 2 4 4" xfId="5330"/>
    <cellStyle name="Normal 64 2 4 4 2" xfId="14371"/>
    <cellStyle name="Normal 64 2 4 5" xfId="9858"/>
    <cellStyle name="Normal 64 2 5" xfId="1371"/>
    <cellStyle name="Normal 64 2 5 2" xfId="3759"/>
    <cellStyle name="Normal 64 2 5 2 2" xfId="8274"/>
    <cellStyle name="Normal 64 2 5 2 2 2" xfId="17315"/>
    <cellStyle name="Normal 64 2 5 2 3" xfId="12802"/>
    <cellStyle name="Normal 64 2 5 3" xfId="5894"/>
    <cellStyle name="Normal 64 2 5 3 2" xfId="14935"/>
    <cellStyle name="Normal 64 2 5 4" xfId="10422"/>
    <cellStyle name="Normal 64 2 6" xfId="3748"/>
    <cellStyle name="Normal 64 2 6 2" xfId="8263"/>
    <cellStyle name="Normal 64 2 6 2 2" xfId="17304"/>
    <cellStyle name="Normal 64 2 6 3" xfId="12791"/>
    <cellStyle name="Normal 64 2 7" xfId="4766"/>
    <cellStyle name="Normal 64 2 7 2" xfId="13807"/>
    <cellStyle name="Normal 64 2 8" xfId="9294"/>
    <cellStyle name="Normal 64 3" xfId="295"/>
    <cellStyle name="Normal 64 3 2" xfId="859"/>
    <cellStyle name="Normal 64 3 2 2" xfId="2029"/>
    <cellStyle name="Normal 64 3 2 2 2" xfId="3762"/>
    <cellStyle name="Normal 64 3 2 2 2 2" xfId="8277"/>
    <cellStyle name="Normal 64 3 2 2 2 2 2" xfId="17318"/>
    <cellStyle name="Normal 64 3 2 2 2 3" xfId="12805"/>
    <cellStyle name="Normal 64 3 2 2 3" xfId="6552"/>
    <cellStyle name="Normal 64 3 2 2 3 2" xfId="15593"/>
    <cellStyle name="Normal 64 3 2 2 4" xfId="11080"/>
    <cellStyle name="Normal 64 3 2 3" xfId="3761"/>
    <cellStyle name="Normal 64 3 2 3 2" xfId="8276"/>
    <cellStyle name="Normal 64 3 2 3 2 2" xfId="17317"/>
    <cellStyle name="Normal 64 3 2 3 3" xfId="12804"/>
    <cellStyle name="Normal 64 3 2 4" xfId="5424"/>
    <cellStyle name="Normal 64 3 2 4 2" xfId="14465"/>
    <cellStyle name="Normal 64 3 2 5" xfId="9952"/>
    <cellStyle name="Normal 64 3 3" xfId="1465"/>
    <cellStyle name="Normal 64 3 3 2" xfId="3763"/>
    <cellStyle name="Normal 64 3 3 2 2" xfId="8278"/>
    <cellStyle name="Normal 64 3 3 2 2 2" xfId="17319"/>
    <cellStyle name="Normal 64 3 3 2 3" xfId="12806"/>
    <cellStyle name="Normal 64 3 3 3" xfId="5988"/>
    <cellStyle name="Normal 64 3 3 3 2" xfId="15029"/>
    <cellStyle name="Normal 64 3 3 4" xfId="10516"/>
    <cellStyle name="Normal 64 3 4" xfId="3760"/>
    <cellStyle name="Normal 64 3 4 2" xfId="8275"/>
    <cellStyle name="Normal 64 3 4 2 2" xfId="17316"/>
    <cellStyle name="Normal 64 3 4 3" xfId="12803"/>
    <cellStyle name="Normal 64 3 5" xfId="4860"/>
    <cellStyle name="Normal 64 3 5 2" xfId="13901"/>
    <cellStyle name="Normal 64 3 6" xfId="9388"/>
    <cellStyle name="Normal 64 4" xfId="483"/>
    <cellStyle name="Normal 64 4 2" xfId="1047"/>
    <cellStyle name="Normal 64 4 2 2" xfId="2217"/>
    <cellStyle name="Normal 64 4 2 2 2" xfId="3766"/>
    <cellStyle name="Normal 64 4 2 2 2 2" xfId="8281"/>
    <cellStyle name="Normal 64 4 2 2 2 2 2" xfId="17322"/>
    <cellStyle name="Normal 64 4 2 2 2 3" xfId="12809"/>
    <cellStyle name="Normal 64 4 2 2 3" xfId="6740"/>
    <cellStyle name="Normal 64 4 2 2 3 2" xfId="15781"/>
    <cellStyle name="Normal 64 4 2 2 4" xfId="11268"/>
    <cellStyle name="Normal 64 4 2 3" xfId="3765"/>
    <cellStyle name="Normal 64 4 2 3 2" xfId="8280"/>
    <cellStyle name="Normal 64 4 2 3 2 2" xfId="17321"/>
    <cellStyle name="Normal 64 4 2 3 3" xfId="12808"/>
    <cellStyle name="Normal 64 4 2 4" xfId="5612"/>
    <cellStyle name="Normal 64 4 2 4 2" xfId="14653"/>
    <cellStyle name="Normal 64 4 2 5" xfId="10140"/>
    <cellStyle name="Normal 64 4 3" xfId="1653"/>
    <cellStyle name="Normal 64 4 3 2" xfId="3767"/>
    <cellStyle name="Normal 64 4 3 2 2" xfId="8282"/>
    <cellStyle name="Normal 64 4 3 2 2 2" xfId="17323"/>
    <cellStyle name="Normal 64 4 3 2 3" xfId="12810"/>
    <cellStyle name="Normal 64 4 3 3" xfId="6176"/>
    <cellStyle name="Normal 64 4 3 3 2" xfId="15217"/>
    <cellStyle name="Normal 64 4 3 4" xfId="10704"/>
    <cellStyle name="Normal 64 4 4" xfId="3764"/>
    <cellStyle name="Normal 64 4 4 2" xfId="8279"/>
    <cellStyle name="Normal 64 4 4 2 2" xfId="17320"/>
    <cellStyle name="Normal 64 4 4 3" xfId="12807"/>
    <cellStyle name="Normal 64 4 5" xfId="5048"/>
    <cellStyle name="Normal 64 4 5 2" xfId="14089"/>
    <cellStyle name="Normal 64 4 6" xfId="9576"/>
    <cellStyle name="Normal 64 5" xfId="671"/>
    <cellStyle name="Normal 64 5 2" xfId="1841"/>
    <cellStyle name="Normal 64 5 2 2" xfId="3769"/>
    <cellStyle name="Normal 64 5 2 2 2" xfId="8284"/>
    <cellStyle name="Normal 64 5 2 2 2 2" xfId="17325"/>
    <cellStyle name="Normal 64 5 2 2 3" xfId="12812"/>
    <cellStyle name="Normal 64 5 2 3" xfId="6364"/>
    <cellStyle name="Normal 64 5 2 3 2" xfId="15405"/>
    <cellStyle name="Normal 64 5 2 4" xfId="10892"/>
    <cellStyle name="Normal 64 5 3" xfId="3768"/>
    <cellStyle name="Normal 64 5 3 2" xfId="8283"/>
    <cellStyle name="Normal 64 5 3 2 2" xfId="17324"/>
    <cellStyle name="Normal 64 5 3 3" xfId="12811"/>
    <cellStyle name="Normal 64 5 4" xfId="5236"/>
    <cellStyle name="Normal 64 5 4 2" xfId="14277"/>
    <cellStyle name="Normal 64 5 5" xfId="9764"/>
    <cellStyle name="Normal 64 6" xfId="1277"/>
    <cellStyle name="Normal 64 6 2" xfId="3770"/>
    <cellStyle name="Normal 64 6 2 2" xfId="8285"/>
    <cellStyle name="Normal 64 6 2 2 2" xfId="17326"/>
    <cellStyle name="Normal 64 6 2 3" xfId="12813"/>
    <cellStyle name="Normal 64 6 3" xfId="5800"/>
    <cellStyle name="Normal 64 6 3 2" xfId="14841"/>
    <cellStyle name="Normal 64 6 4" xfId="10328"/>
    <cellStyle name="Normal 64 7" xfId="3747"/>
    <cellStyle name="Normal 64 7 2" xfId="8262"/>
    <cellStyle name="Normal 64 7 2 2" xfId="17303"/>
    <cellStyle name="Normal 64 7 3" xfId="12790"/>
    <cellStyle name="Normal 64 8" xfId="4672"/>
    <cellStyle name="Normal 64 8 2" xfId="13713"/>
    <cellStyle name="Normal 64 9" xfId="9200"/>
    <cellStyle name="Normal 65" xfId="65"/>
    <cellStyle name="Normal 65 2" xfId="161"/>
    <cellStyle name="Normal 65 2 2" xfId="390"/>
    <cellStyle name="Normal 65 2 2 2" xfId="954"/>
    <cellStyle name="Normal 65 2 2 2 2" xfId="2124"/>
    <cellStyle name="Normal 65 2 2 2 2 2" xfId="3775"/>
    <cellStyle name="Normal 65 2 2 2 2 2 2" xfId="8290"/>
    <cellStyle name="Normal 65 2 2 2 2 2 2 2" xfId="17331"/>
    <cellStyle name="Normal 65 2 2 2 2 2 3" xfId="12818"/>
    <cellStyle name="Normal 65 2 2 2 2 3" xfId="6647"/>
    <cellStyle name="Normal 65 2 2 2 2 3 2" xfId="15688"/>
    <cellStyle name="Normal 65 2 2 2 2 4" xfId="11175"/>
    <cellStyle name="Normal 65 2 2 2 3" xfId="3774"/>
    <cellStyle name="Normal 65 2 2 2 3 2" xfId="8289"/>
    <cellStyle name="Normal 65 2 2 2 3 2 2" xfId="17330"/>
    <cellStyle name="Normal 65 2 2 2 3 3" xfId="12817"/>
    <cellStyle name="Normal 65 2 2 2 4" xfId="5519"/>
    <cellStyle name="Normal 65 2 2 2 4 2" xfId="14560"/>
    <cellStyle name="Normal 65 2 2 2 5" xfId="10047"/>
    <cellStyle name="Normal 65 2 2 3" xfId="1560"/>
    <cellStyle name="Normal 65 2 2 3 2" xfId="3776"/>
    <cellStyle name="Normal 65 2 2 3 2 2" xfId="8291"/>
    <cellStyle name="Normal 65 2 2 3 2 2 2" xfId="17332"/>
    <cellStyle name="Normal 65 2 2 3 2 3" xfId="12819"/>
    <cellStyle name="Normal 65 2 2 3 3" xfId="6083"/>
    <cellStyle name="Normal 65 2 2 3 3 2" xfId="15124"/>
    <cellStyle name="Normal 65 2 2 3 4" xfId="10611"/>
    <cellStyle name="Normal 65 2 2 4" xfId="3773"/>
    <cellStyle name="Normal 65 2 2 4 2" xfId="8288"/>
    <cellStyle name="Normal 65 2 2 4 2 2" xfId="17329"/>
    <cellStyle name="Normal 65 2 2 4 3" xfId="12816"/>
    <cellStyle name="Normal 65 2 2 5" xfId="4955"/>
    <cellStyle name="Normal 65 2 2 5 2" xfId="13996"/>
    <cellStyle name="Normal 65 2 2 6" xfId="9483"/>
    <cellStyle name="Normal 65 2 3" xfId="578"/>
    <cellStyle name="Normal 65 2 3 2" xfId="1142"/>
    <cellStyle name="Normal 65 2 3 2 2" xfId="2312"/>
    <cellStyle name="Normal 65 2 3 2 2 2" xfId="3779"/>
    <cellStyle name="Normal 65 2 3 2 2 2 2" xfId="8294"/>
    <cellStyle name="Normal 65 2 3 2 2 2 2 2" xfId="17335"/>
    <cellStyle name="Normal 65 2 3 2 2 2 3" xfId="12822"/>
    <cellStyle name="Normal 65 2 3 2 2 3" xfId="6835"/>
    <cellStyle name="Normal 65 2 3 2 2 3 2" xfId="15876"/>
    <cellStyle name="Normal 65 2 3 2 2 4" xfId="11363"/>
    <cellStyle name="Normal 65 2 3 2 3" xfId="3778"/>
    <cellStyle name="Normal 65 2 3 2 3 2" xfId="8293"/>
    <cellStyle name="Normal 65 2 3 2 3 2 2" xfId="17334"/>
    <cellStyle name="Normal 65 2 3 2 3 3" xfId="12821"/>
    <cellStyle name="Normal 65 2 3 2 4" xfId="5707"/>
    <cellStyle name="Normal 65 2 3 2 4 2" xfId="14748"/>
    <cellStyle name="Normal 65 2 3 2 5" xfId="10235"/>
    <cellStyle name="Normal 65 2 3 3" xfId="1748"/>
    <cellStyle name="Normal 65 2 3 3 2" xfId="3780"/>
    <cellStyle name="Normal 65 2 3 3 2 2" xfId="8295"/>
    <cellStyle name="Normal 65 2 3 3 2 2 2" xfId="17336"/>
    <cellStyle name="Normal 65 2 3 3 2 3" xfId="12823"/>
    <cellStyle name="Normal 65 2 3 3 3" xfId="6271"/>
    <cellStyle name="Normal 65 2 3 3 3 2" xfId="15312"/>
    <cellStyle name="Normal 65 2 3 3 4" xfId="10799"/>
    <cellStyle name="Normal 65 2 3 4" xfId="3777"/>
    <cellStyle name="Normal 65 2 3 4 2" xfId="8292"/>
    <cellStyle name="Normal 65 2 3 4 2 2" xfId="17333"/>
    <cellStyle name="Normal 65 2 3 4 3" xfId="12820"/>
    <cellStyle name="Normal 65 2 3 5" xfId="5143"/>
    <cellStyle name="Normal 65 2 3 5 2" xfId="14184"/>
    <cellStyle name="Normal 65 2 3 6" xfId="9671"/>
    <cellStyle name="Normal 65 2 4" xfId="766"/>
    <cellStyle name="Normal 65 2 4 2" xfId="1936"/>
    <cellStyle name="Normal 65 2 4 2 2" xfId="3782"/>
    <cellStyle name="Normal 65 2 4 2 2 2" xfId="8297"/>
    <cellStyle name="Normal 65 2 4 2 2 2 2" xfId="17338"/>
    <cellStyle name="Normal 65 2 4 2 2 3" xfId="12825"/>
    <cellStyle name="Normal 65 2 4 2 3" xfId="6459"/>
    <cellStyle name="Normal 65 2 4 2 3 2" xfId="15500"/>
    <cellStyle name="Normal 65 2 4 2 4" xfId="10987"/>
    <cellStyle name="Normal 65 2 4 3" xfId="3781"/>
    <cellStyle name="Normal 65 2 4 3 2" xfId="8296"/>
    <cellStyle name="Normal 65 2 4 3 2 2" xfId="17337"/>
    <cellStyle name="Normal 65 2 4 3 3" xfId="12824"/>
    <cellStyle name="Normal 65 2 4 4" xfId="5331"/>
    <cellStyle name="Normal 65 2 4 4 2" xfId="14372"/>
    <cellStyle name="Normal 65 2 4 5" xfId="9859"/>
    <cellStyle name="Normal 65 2 5" xfId="1372"/>
    <cellStyle name="Normal 65 2 5 2" xfId="3783"/>
    <cellStyle name="Normal 65 2 5 2 2" xfId="8298"/>
    <cellStyle name="Normal 65 2 5 2 2 2" xfId="17339"/>
    <cellStyle name="Normal 65 2 5 2 3" xfId="12826"/>
    <cellStyle name="Normal 65 2 5 3" xfId="5895"/>
    <cellStyle name="Normal 65 2 5 3 2" xfId="14936"/>
    <cellStyle name="Normal 65 2 5 4" xfId="10423"/>
    <cellStyle name="Normal 65 2 6" xfId="3772"/>
    <cellStyle name="Normal 65 2 6 2" xfId="8287"/>
    <cellStyle name="Normal 65 2 6 2 2" xfId="17328"/>
    <cellStyle name="Normal 65 2 6 3" xfId="12815"/>
    <cellStyle name="Normal 65 2 7" xfId="4767"/>
    <cellStyle name="Normal 65 2 7 2" xfId="13808"/>
    <cellStyle name="Normal 65 2 8" xfId="9295"/>
    <cellStyle name="Normal 65 3" xfId="296"/>
    <cellStyle name="Normal 65 3 2" xfId="860"/>
    <cellStyle name="Normal 65 3 2 2" xfId="2030"/>
    <cellStyle name="Normal 65 3 2 2 2" xfId="3786"/>
    <cellStyle name="Normal 65 3 2 2 2 2" xfId="8301"/>
    <cellStyle name="Normal 65 3 2 2 2 2 2" xfId="17342"/>
    <cellStyle name="Normal 65 3 2 2 2 3" xfId="12829"/>
    <cellStyle name="Normal 65 3 2 2 3" xfId="6553"/>
    <cellStyle name="Normal 65 3 2 2 3 2" xfId="15594"/>
    <cellStyle name="Normal 65 3 2 2 4" xfId="11081"/>
    <cellStyle name="Normal 65 3 2 3" xfId="3785"/>
    <cellStyle name="Normal 65 3 2 3 2" xfId="8300"/>
    <cellStyle name="Normal 65 3 2 3 2 2" xfId="17341"/>
    <cellStyle name="Normal 65 3 2 3 3" xfId="12828"/>
    <cellStyle name="Normal 65 3 2 4" xfId="5425"/>
    <cellStyle name="Normal 65 3 2 4 2" xfId="14466"/>
    <cellStyle name="Normal 65 3 2 5" xfId="9953"/>
    <cellStyle name="Normal 65 3 3" xfId="1466"/>
    <cellStyle name="Normal 65 3 3 2" xfId="3787"/>
    <cellStyle name="Normal 65 3 3 2 2" xfId="8302"/>
    <cellStyle name="Normal 65 3 3 2 2 2" xfId="17343"/>
    <cellStyle name="Normal 65 3 3 2 3" xfId="12830"/>
    <cellStyle name="Normal 65 3 3 3" xfId="5989"/>
    <cellStyle name="Normal 65 3 3 3 2" xfId="15030"/>
    <cellStyle name="Normal 65 3 3 4" xfId="10517"/>
    <cellStyle name="Normal 65 3 4" xfId="3784"/>
    <cellStyle name="Normal 65 3 4 2" xfId="8299"/>
    <cellStyle name="Normal 65 3 4 2 2" xfId="17340"/>
    <cellStyle name="Normal 65 3 4 3" xfId="12827"/>
    <cellStyle name="Normal 65 3 5" xfId="4861"/>
    <cellStyle name="Normal 65 3 5 2" xfId="13902"/>
    <cellStyle name="Normal 65 3 6" xfId="9389"/>
    <cellStyle name="Normal 65 4" xfId="484"/>
    <cellStyle name="Normal 65 4 2" xfId="1048"/>
    <cellStyle name="Normal 65 4 2 2" xfId="2218"/>
    <cellStyle name="Normal 65 4 2 2 2" xfId="3790"/>
    <cellStyle name="Normal 65 4 2 2 2 2" xfId="8305"/>
    <cellStyle name="Normal 65 4 2 2 2 2 2" xfId="17346"/>
    <cellStyle name="Normal 65 4 2 2 2 3" xfId="12833"/>
    <cellStyle name="Normal 65 4 2 2 3" xfId="6741"/>
    <cellStyle name="Normal 65 4 2 2 3 2" xfId="15782"/>
    <cellStyle name="Normal 65 4 2 2 4" xfId="11269"/>
    <cellStyle name="Normal 65 4 2 3" xfId="3789"/>
    <cellStyle name="Normal 65 4 2 3 2" xfId="8304"/>
    <cellStyle name="Normal 65 4 2 3 2 2" xfId="17345"/>
    <cellStyle name="Normal 65 4 2 3 3" xfId="12832"/>
    <cellStyle name="Normal 65 4 2 4" xfId="5613"/>
    <cellStyle name="Normal 65 4 2 4 2" xfId="14654"/>
    <cellStyle name="Normal 65 4 2 5" xfId="10141"/>
    <cellStyle name="Normal 65 4 3" xfId="1654"/>
    <cellStyle name="Normal 65 4 3 2" xfId="3791"/>
    <cellStyle name="Normal 65 4 3 2 2" xfId="8306"/>
    <cellStyle name="Normal 65 4 3 2 2 2" xfId="17347"/>
    <cellStyle name="Normal 65 4 3 2 3" xfId="12834"/>
    <cellStyle name="Normal 65 4 3 3" xfId="6177"/>
    <cellStyle name="Normal 65 4 3 3 2" xfId="15218"/>
    <cellStyle name="Normal 65 4 3 4" xfId="10705"/>
    <cellStyle name="Normal 65 4 4" xfId="3788"/>
    <cellStyle name="Normal 65 4 4 2" xfId="8303"/>
    <cellStyle name="Normal 65 4 4 2 2" xfId="17344"/>
    <cellStyle name="Normal 65 4 4 3" xfId="12831"/>
    <cellStyle name="Normal 65 4 5" xfId="5049"/>
    <cellStyle name="Normal 65 4 5 2" xfId="14090"/>
    <cellStyle name="Normal 65 4 6" xfId="9577"/>
    <cellStyle name="Normal 65 5" xfId="672"/>
    <cellStyle name="Normal 65 5 2" xfId="1842"/>
    <cellStyle name="Normal 65 5 2 2" xfId="3793"/>
    <cellStyle name="Normal 65 5 2 2 2" xfId="8308"/>
    <cellStyle name="Normal 65 5 2 2 2 2" xfId="17349"/>
    <cellStyle name="Normal 65 5 2 2 3" xfId="12836"/>
    <cellStyle name="Normal 65 5 2 3" xfId="6365"/>
    <cellStyle name="Normal 65 5 2 3 2" xfId="15406"/>
    <cellStyle name="Normal 65 5 2 4" xfId="10893"/>
    <cellStyle name="Normal 65 5 3" xfId="3792"/>
    <cellStyle name="Normal 65 5 3 2" xfId="8307"/>
    <cellStyle name="Normal 65 5 3 2 2" xfId="17348"/>
    <cellStyle name="Normal 65 5 3 3" xfId="12835"/>
    <cellStyle name="Normal 65 5 4" xfId="5237"/>
    <cellStyle name="Normal 65 5 4 2" xfId="14278"/>
    <cellStyle name="Normal 65 5 5" xfId="9765"/>
    <cellStyle name="Normal 65 6" xfId="1278"/>
    <cellStyle name="Normal 65 6 2" xfId="3794"/>
    <cellStyle name="Normal 65 6 2 2" xfId="8309"/>
    <cellStyle name="Normal 65 6 2 2 2" xfId="17350"/>
    <cellStyle name="Normal 65 6 2 3" xfId="12837"/>
    <cellStyle name="Normal 65 6 3" xfId="5801"/>
    <cellStyle name="Normal 65 6 3 2" xfId="14842"/>
    <cellStyle name="Normal 65 6 4" xfId="10329"/>
    <cellStyle name="Normal 65 7" xfId="3771"/>
    <cellStyle name="Normal 65 7 2" xfId="8286"/>
    <cellStyle name="Normal 65 7 2 2" xfId="17327"/>
    <cellStyle name="Normal 65 7 3" xfId="12814"/>
    <cellStyle name="Normal 65 8" xfId="4673"/>
    <cellStyle name="Normal 65 8 2" xfId="13714"/>
    <cellStyle name="Normal 65 9" xfId="9201"/>
    <cellStyle name="Normal 66" xfId="66"/>
    <cellStyle name="Normal 66 2" xfId="162"/>
    <cellStyle name="Normal 66 2 2" xfId="391"/>
    <cellStyle name="Normal 66 2 2 2" xfId="955"/>
    <cellStyle name="Normal 66 2 2 2 2" xfId="2125"/>
    <cellStyle name="Normal 66 2 2 2 2 2" xfId="3799"/>
    <cellStyle name="Normal 66 2 2 2 2 2 2" xfId="8314"/>
    <cellStyle name="Normal 66 2 2 2 2 2 2 2" xfId="17355"/>
    <cellStyle name="Normal 66 2 2 2 2 2 3" xfId="12842"/>
    <cellStyle name="Normal 66 2 2 2 2 3" xfId="6648"/>
    <cellStyle name="Normal 66 2 2 2 2 3 2" xfId="15689"/>
    <cellStyle name="Normal 66 2 2 2 2 4" xfId="11176"/>
    <cellStyle name="Normal 66 2 2 2 3" xfId="3798"/>
    <cellStyle name="Normal 66 2 2 2 3 2" xfId="8313"/>
    <cellStyle name="Normal 66 2 2 2 3 2 2" xfId="17354"/>
    <cellStyle name="Normal 66 2 2 2 3 3" xfId="12841"/>
    <cellStyle name="Normal 66 2 2 2 4" xfId="5520"/>
    <cellStyle name="Normal 66 2 2 2 4 2" xfId="14561"/>
    <cellStyle name="Normal 66 2 2 2 5" xfId="10048"/>
    <cellStyle name="Normal 66 2 2 3" xfId="1561"/>
    <cellStyle name="Normal 66 2 2 3 2" xfId="3800"/>
    <cellStyle name="Normal 66 2 2 3 2 2" xfId="8315"/>
    <cellStyle name="Normal 66 2 2 3 2 2 2" xfId="17356"/>
    <cellStyle name="Normal 66 2 2 3 2 3" xfId="12843"/>
    <cellStyle name="Normal 66 2 2 3 3" xfId="6084"/>
    <cellStyle name="Normal 66 2 2 3 3 2" xfId="15125"/>
    <cellStyle name="Normal 66 2 2 3 4" xfId="10612"/>
    <cellStyle name="Normal 66 2 2 4" xfId="3797"/>
    <cellStyle name="Normal 66 2 2 4 2" xfId="8312"/>
    <cellStyle name="Normal 66 2 2 4 2 2" xfId="17353"/>
    <cellStyle name="Normal 66 2 2 4 3" xfId="12840"/>
    <cellStyle name="Normal 66 2 2 5" xfId="4956"/>
    <cellStyle name="Normal 66 2 2 5 2" xfId="13997"/>
    <cellStyle name="Normal 66 2 2 6" xfId="9484"/>
    <cellStyle name="Normal 66 2 3" xfId="579"/>
    <cellStyle name="Normal 66 2 3 2" xfId="1143"/>
    <cellStyle name="Normal 66 2 3 2 2" xfId="2313"/>
    <cellStyle name="Normal 66 2 3 2 2 2" xfId="3803"/>
    <cellStyle name="Normal 66 2 3 2 2 2 2" xfId="8318"/>
    <cellStyle name="Normal 66 2 3 2 2 2 2 2" xfId="17359"/>
    <cellStyle name="Normal 66 2 3 2 2 2 3" xfId="12846"/>
    <cellStyle name="Normal 66 2 3 2 2 3" xfId="6836"/>
    <cellStyle name="Normal 66 2 3 2 2 3 2" xfId="15877"/>
    <cellStyle name="Normal 66 2 3 2 2 4" xfId="11364"/>
    <cellStyle name="Normal 66 2 3 2 3" xfId="3802"/>
    <cellStyle name="Normal 66 2 3 2 3 2" xfId="8317"/>
    <cellStyle name="Normal 66 2 3 2 3 2 2" xfId="17358"/>
    <cellStyle name="Normal 66 2 3 2 3 3" xfId="12845"/>
    <cellStyle name="Normal 66 2 3 2 4" xfId="5708"/>
    <cellStyle name="Normal 66 2 3 2 4 2" xfId="14749"/>
    <cellStyle name="Normal 66 2 3 2 5" xfId="10236"/>
    <cellStyle name="Normal 66 2 3 3" xfId="1749"/>
    <cellStyle name="Normal 66 2 3 3 2" xfId="3804"/>
    <cellStyle name="Normal 66 2 3 3 2 2" xfId="8319"/>
    <cellStyle name="Normal 66 2 3 3 2 2 2" xfId="17360"/>
    <cellStyle name="Normal 66 2 3 3 2 3" xfId="12847"/>
    <cellStyle name="Normal 66 2 3 3 3" xfId="6272"/>
    <cellStyle name="Normal 66 2 3 3 3 2" xfId="15313"/>
    <cellStyle name="Normal 66 2 3 3 4" xfId="10800"/>
    <cellStyle name="Normal 66 2 3 4" xfId="3801"/>
    <cellStyle name="Normal 66 2 3 4 2" xfId="8316"/>
    <cellStyle name="Normal 66 2 3 4 2 2" xfId="17357"/>
    <cellStyle name="Normal 66 2 3 4 3" xfId="12844"/>
    <cellStyle name="Normal 66 2 3 5" xfId="5144"/>
    <cellStyle name="Normal 66 2 3 5 2" xfId="14185"/>
    <cellStyle name="Normal 66 2 3 6" xfId="9672"/>
    <cellStyle name="Normal 66 2 4" xfId="767"/>
    <cellStyle name="Normal 66 2 4 2" xfId="1937"/>
    <cellStyle name="Normal 66 2 4 2 2" xfId="3806"/>
    <cellStyle name="Normal 66 2 4 2 2 2" xfId="8321"/>
    <cellStyle name="Normal 66 2 4 2 2 2 2" xfId="17362"/>
    <cellStyle name="Normal 66 2 4 2 2 3" xfId="12849"/>
    <cellStyle name="Normal 66 2 4 2 3" xfId="6460"/>
    <cellStyle name="Normal 66 2 4 2 3 2" xfId="15501"/>
    <cellStyle name="Normal 66 2 4 2 4" xfId="10988"/>
    <cellStyle name="Normal 66 2 4 3" xfId="3805"/>
    <cellStyle name="Normal 66 2 4 3 2" xfId="8320"/>
    <cellStyle name="Normal 66 2 4 3 2 2" xfId="17361"/>
    <cellStyle name="Normal 66 2 4 3 3" xfId="12848"/>
    <cellStyle name="Normal 66 2 4 4" xfId="5332"/>
    <cellStyle name="Normal 66 2 4 4 2" xfId="14373"/>
    <cellStyle name="Normal 66 2 4 5" xfId="9860"/>
    <cellStyle name="Normal 66 2 5" xfId="1373"/>
    <cellStyle name="Normal 66 2 5 2" xfId="3807"/>
    <cellStyle name="Normal 66 2 5 2 2" xfId="8322"/>
    <cellStyle name="Normal 66 2 5 2 2 2" xfId="17363"/>
    <cellStyle name="Normal 66 2 5 2 3" xfId="12850"/>
    <cellStyle name="Normal 66 2 5 3" xfId="5896"/>
    <cellStyle name="Normal 66 2 5 3 2" xfId="14937"/>
    <cellStyle name="Normal 66 2 5 4" xfId="10424"/>
    <cellStyle name="Normal 66 2 6" xfId="3796"/>
    <cellStyle name="Normal 66 2 6 2" xfId="8311"/>
    <cellStyle name="Normal 66 2 6 2 2" xfId="17352"/>
    <cellStyle name="Normal 66 2 6 3" xfId="12839"/>
    <cellStyle name="Normal 66 2 7" xfId="4768"/>
    <cellStyle name="Normal 66 2 7 2" xfId="13809"/>
    <cellStyle name="Normal 66 2 8" xfId="9296"/>
    <cellStyle name="Normal 66 3" xfId="297"/>
    <cellStyle name="Normal 66 3 2" xfId="861"/>
    <cellStyle name="Normal 66 3 2 2" xfId="2031"/>
    <cellStyle name="Normal 66 3 2 2 2" xfId="3810"/>
    <cellStyle name="Normal 66 3 2 2 2 2" xfId="8325"/>
    <cellStyle name="Normal 66 3 2 2 2 2 2" xfId="17366"/>
    <cellStyle name="Normal 66 3 2 2 2 3" xfId="12853"/>
    <cellStyle name="Normal 66 3 2 2 3" xfId="6554"/>
    <cellStyle name="Normal 66 3 2 2 3 2" xfId="15595"/>
    <cellStyle name="Normal 66 3 2 2 4" xfId="11082"/>
    <cellStyle name="Normal 66 3 2 3" xfId="3809"/>
    <cellStyle name="Normal 66 3 2 3 2" xfId="8324"/>
    <cellStyle name="Normal 66 3 2 3 2 2" xfId="17365"/>
    <cellStyle name="Normal 66 3 2 3 3" xfId="12852"/>
    <cellStyle name="Normal 66 3 2 4" xfId="5426"/>
    <cellStyle name="Normal 66 3 2 4 2" xfId="14467"/>
    <cellStyle name="Normal 66 3 2 5" xfId="9954"/>
    <cellStyle name="Normal 66 3 3" xfId="1467"/>
    <cellStyle name="Normal 66 3 3 2" xfId="3811"/>
    <cellStyle name="Normal 66 3 3 2 2" xfId="8326"/>
    <cellStyle name="Normal 66 3 3 2 2 2" xfId="17367"/>
    <cellStyle name="Normal 66 3 3 2 3" xfId="12854"/>
    <cellStyle name="Normal 66 3 3 3" xfId="5990"/>
    <cellStyle name="Normal 66 3 3 3 2" xfId="15031"/>
    <cellStyle name="Normal 66 3 3 4" xfId="10518"/>
    <cellStyle name="Normal 66 3 4" xfId="3808"/>
    <cellStyle name="Normal 66 3 4 2" xfId="8323"/>
    <cellStyle name="Normal 66 3 4 2 2" xfId="17364"/>
    <cellStyle name="Normal 66 3 4 3" xfId="12851"/>
    <cellStyle name="Normal 66 3 5" xfId="4862"/>
    <cellStyle name="Normal 66 3 5 2" xfId="13903"/>
    <cellStyle name="Normal 66 3 6" xfId="9390"/>
    <cellStyle name="Normal 66 4" xfId="485"/>
    <cellStyle name="Normal 66 4 2" xfId="1049"/>
    <cellStyle name="Normal 66 4 2 2" xfId="2219"/>
    <cellStyle name="Normal 66 4 2 2 2" xfId="3814"/>
    <cellStyle name="Normal 66 4 2 2 2 2" xfId="8329"/>
    <cellStyle name="Normal 66 4 2 2 2 2 2" xfId="17370"/>
    <cellStyle name="Normal 66 4 2 2 2 3" xfId="12857"/>
    <cellStyle name="Normal 66 4 2 2 3" xfId="6742"/>
    <cellStyle name="Normal 66 4 2 2 3 2" xfId="15783"/>
    <cellStyle name="Normal 66 4 2 2 4" xfId="11270"/>
    <cellStyle name="Normal 66 4 2 3" xfId="3813"/>
    <cellStyle name="Normal 66 4 2 3 2" xfId="8328"/>
    <cellStyle name="Normal 66 4 2 3 2 2" xfId="17369"/>
    <cellStyle name="Normal 66 4 2 3 3" xfId="12856"/>
    <cellStyle name="Normal 66 4 2 4" xfId="5614"/>
    <cellStyle name="Normal 66 4 2 4 2" xfId="14655"/>
    <cellStyle name="Normal 66 4 2 5" xfId="10142"/>
    <cellStyle name="Normal 66 4 3" xfId="1655"/>
    <cellStyle name="Normal 66 4 3 2" xfId="3815"/>
    <cellStyle name="Normal 66 4 3 2 2" xfId="8330"/>
    <cellStyle name="Normal 66 4 3 2 2 2" xfId="17371"/>
    <cellStyle name="Normal 66 4 3 2 3" xfId="12858"/>
    <cellStyle name="Normal 66 4 3 3" xfId="6178"/>
    <cellStyle name="Normal 66 4 3 3 2" xfId="15219"/>
    <cellStyle name="Normal 66 4 3 4" xfId="10706"/>
    <cellStyle name="Normal 66 4 4" xfId="3812"/>
    <cellStyle name="Normal 66 4 4 2" xfId="8327"/>
    <cellStyle name="Normal 66 4 4 2 2" xfId="17368"/>
    <cellStyle name="Normal 66 4 4 3" xfId="12855"/>
    <cellStyle name="Normal 66 4 5" xfId="5050"/>
    <cellStyle name="Normal 66 4 5 2" xfId="14091"/>
    <cellStyle name="Normal 66 4 6" xfId="9578"/>
    <cellStyle name="Normal 66 5" xfId="673"/>
    <cellStyle name="Normal 66 5 2" xfId="1843"/>
    <cellStyle name="Normal 66 5 2 2" xfId="3817"/>
    <cellStyle name="Normal 66 5 2 2 2" xfId="8332"/>
    <cellStyle name="Normal 66 5 2 2 2 2" xfId="17373"/>
    <cellStyle name="Normal 66 5 2 2 3" xfId="12860"/>
    <cellStyle name="Normal 66 5 2 3" xfId="6366"/>
    <cellStyle name="Normal 66 5 2 3 2" xfId="15407"/>
    <cellStyle name="Normal 66 5 2 4" xfId="10894"/>
    <cellStyle name="Normal 66 5 3" xfId="3816"/>
    <cellStyle name="Normal 66 5 3 2" xfId="8331"/>
    <cellStyle name="Normal 66 5 3 2 2" xfId="17372"/>
    <cellStyle name="Normal 66 5 3 3" xfId="12859"/>
    <cellStyle name="Normal 66 5 4" xfId="5238"/>
    <cellStyle name="Normal 66 5 4 2" xfId="14279"/>
    <cellStyle name="Normal 66 5 5" xfId="9766"/>
    <cellStyle name="Normal 66 6" xfId="1279"/>
    <cellStyle name="Normal 66 6 2" xfId="3818"/>
    <cellStyle name="Normal 66 6 2 2" xfId="8333"/>
    <cellStyle name="Normal 66 6 2 2 2" xfId="17374"/>
    <cellStyle name="Normal 66 6 2 3" xfId="12861"/>
    <cellStyle name="Normal 66 6 3" xfId="5802"/>
    <cellStyle name="Normal 66 6 3 2" xfId="14843"/>
    <cellStyle name="Normal 66 6 4" xfId="10330"/>
    <cellStyle name="Normal 66 7" xfId="3795"/>
    <cellStyle name="Normal 66 7 2" xfId="8310"/>
    <cellStyle name="Normal 66 7 2 2" xfId="17351"/>
    <cellStyle name="Normal 66 7 3" xfId="12838"/>
    <cellStyle name="Normal 66 8" xfId="4674"/>
    <cellStyle name="Normal 66 8 2" xfId="13715"/>
    <cellStyle name="Normal 66 9" xfId="9202"/>
    <cellStyle name="Normal 67" xfId="67"/>
    <cellStyle name="Normal 67 2" xfId="163"/>
    <cellStyle name="Normal 67 2 2" xfId="392"/>
    <cellStyle name="Normal 67 2 2 2" xfId="956"/>
    <cellStyle name="Normal 67 2 2 2 2" xfId="2126"/>
    <cellStyle name="Normal 67 2 2 2 2 2" xfId="3823"/>
    <cellStyle name="Normal 67 2 2 2 2 2 2" xfId="8338"/>
    <cellStyle name="Normal 67 2 2 2 2 2 2 2" xfId="17379"/>
    <cellStyle name="Normal 67 2 2 2 2 2 3" xfId="12866"/>
    <cellStyle name="Normal 67 2 2 2 2 3" xfId="6649"/>
    <cellStyle name="Normal 67 2 2 2 2 3 2" xfId="15690"/>
    <cellStyle name="Normal 67 2 2 2 2 4" xfId="11177"/>
    <cellStyle name="Normal 67 2 2 2 3" xfId="3822"/>
    <cellStyle name="Normal 67 2 2 2 3 2" xfId="8337"/>
    <cellStyle name="Normal 67 2 2 2 3 2 2" xfId="17378"/>
    <cellStyle name="Normal 67 2 2 2 3 3" xfId="12865"/>
    <cellStyle name="Normal 67 2 2 2 4" xfId="5521"/>
    <cellStyle name="Normal 67 2 2 2 4 2" xfId="14562"/>
    <cellStyle name="Normal 67 2 2 2 5" xfId="10049"/>
    <cellStyle name="Normal 67 2 2 3" xfId="1562"/>
    <cellStyle name="Normal 67 2 2 3 2" xfId="3824"/>
    <cellStyle name="Normal 67 2 2 3 2 2" xfId="8339"/>
    <cellStyle name="Normal 67 2 2 3 2 2 2" xfId="17380"/>
    <cellStyle name="Normal 67 2 2 3 2 3" xfId="12867"/>
    <cellStyle name="Normal 67 2 2 3 3" xfId="6085"/>
    <cellStyle name="Normal 67 2 2 3 3 2" xfId="15126"/>
    <cellStyle name="Normal 67 2 2 3 4" xfId="10613"/>
    <cellStyle name="Normal 67 2 2 4" xfId="3821"/>
    <cellStyle name="Normal 67 2 2 4 2" xfId="8336"/>
    <cellStyle name="Normal 67 2 2 4 2 2" xfId="17377"/>
    <cellStyle name="Normal 67 2 2 4 3" xfId="12864"/>
    <cellStyle name="Normal 67 2 2 5" xfId="4957"/>
    <cellStyle name="Normal 67 2 2 5 2" xfId="13998"/>
    <cellStyle name="Normal 67 2 2 6" xfId="9485"/>
    <cellStyle name="Normal 67 2 3" xfId="580"/>
    <cellStyle name="Normal 67 2 3 2" xfId="1144"/>
    <cellStyle name="Normal 67 2 3 2 2" xfId="2314"/>
    <cellStyle name="Normal 67 2 3 2 2 2" xfId="3827"/>
    <cellStyle name="Normal 67 2 3 2 2 2 2" xfId="8342"/>
    <cellStyle name="Normal 67 2 3 2 2 2 2 2" xfId="17383"/>
    <cellStyle name="Normal 67 2 3 2 2 2 3" xfId="12870"/>
    <cellStyle name="Normal 67 2 3 2 2 3" xfId="6837"/>
    <cellStyle name="Normal 67 2 3 2 2 3 2" xfId="15878"/>
    <cellStyle name="Normal 67 2 3 2 2 4" xfId="11365"/>
    <cellStyle name="Normal 67 2 3 2 3" xfId="3826"/>
    <cellStyle name="Normal 67 2 3 2 3 2" xfId="8341"/>
    <cellStyle name="Normal 67 2 3 2 3 2 2" xfId="17382"/>
    <cellStyle name="Normal 67 2 3 2 3 3" xfId="12869"/>
    <cellStyle name="Normal 67 2 3 2 4" xfId="5709"/>
    <cellStyle name="Normal 67 2 3 2 4 2" xfId="14750"/>
    <cellStyle name="Normal 67 2 3 2 5" xfId="10237"/>
    <cellStyle name="Normal 67 2 3 3" xfId="1750"/>
    <cellStyle name="Normal 67 2 3 3 2" xfId="3828"/>
    <cellStyle name="Normal 67 2 3 3 2 2" xfId="8343"/>
    <cellStyle name="Normal 67 2 3 3 2 2 2" xfId="17384"/>
    <cellStyle name="Normal 67 2 3 3 2 3" xfId="12871"/>
    <cellStyle name="Normal 67 2 3 3 3" xfId="6273"/>
    <cellStyle name="Normal 67 2 3 3 3 2" xfId="15314"/>
    <cellStyle name="Normal 67 2 3 3 4" xfId="10801"/>
    <cellStyle name="Normal 67 2 3 4" xfId="3825"/>
    <cellStyle name="Normal 67 2 3 4 2" xfId="8340"/>
    <cellStyle name="Normal 67 2 3 4 2 2" xfId="17381"/>
    <cellStyle name="Normal 67 2 3 4 3" xfId="12868"/>
    <cellStyle name="Normal 67 2 3 5" xfId="5145"/>
    <cellStyle name="Normal 67 2 3 5 2" xfId="14186"/>
    <cellStyle name="Normal 67 2 3 6" xfId="9673"/>
    <cellStyle name="Normal 67 2 4" xfId="768"/>
    <cellStyle name="Normal 67 2 4 2" xfId="1938"/>
    <cellStyle name="Normal 67 2 4 2 2" xfId="3830"/>
    <cellStyle name="Normal 67 2 4 2 2 2" xfId="8345"/>
    <cellStyle name="Normal 67 2 4 2 2 2 2" xfId="17386"/>
    <cellStyle name="Normal 67 2 4 2 2 3" xfId="12873"/>
    <cellStyle name="Normal 67 2 4 2 3" xfId="6461"/>
    <cellStyle name="Normal 67 2 4 2 3 2" xfId="15502"/>
    <cellStyle name="Normal 67 2 4 2 4" xfId="10989"/>
    <cellStyle name="Normal 67 2 4 3" xfId="3829"/>
    <cellStyle name="Normal 67 2 4 3 2" xfId="8344"/>
    <cellStyle name="Normal 67 2 4 3 2 2" xfId="17385"/>
    <cellStyle name="Normal 67 2 4 3 3" xfId="12872"/>
    <cellStyle name="Normal 67 2 4 4" xfId="5333"/>
    <cellStyle name="Normal 67 2 4 4 2" xfId="14374"/>
    <cellStyle name="Normal 67 2 4 5" xfId="9861"/>
    <cellStyle name="Normal 67 2 5" xfId="1374"/>
    <cellStyle name="Normal 67 2 5 2" xfId="3831"/>
    <cellStyle name="Normal 67 2 5 2 2" xfId="8346"/>
    <cellStyle name="Normal 67 2 5 2 2 2" xfId="17387"/>
    <cellStyle name="Normal 67 2 5 2 3" xfId="12874"/>
    <cellStyle name="Normal 67 2 5 3" xfId="5897"/>
    <cellStyle name="Normal 67 2 5 3 2" xfId="14938"/>
    <cellStyle name="Normal 67 2 5 4" xfId="10425"/>
    <cellStyle name="Normal 67 2 6" xfId="3820"/>
    <cellStyle name="Normal 67 2 6 2" xfId="8335"/>
    <cellStyle name="Normal 67 2 6 2 2" xfId="17376"/>
    <cellStyle name="Normal 67 2 6 3" xfId="12863"/>
    <cellStyle name="Normal 67 2 7" xfId="4769"/>
    <cellStyle name="Normal 67 2 7 2" xfId="13810"/>
    <cellStyle name="Normal 67 2 8" xfId="9297"/>
    <cellStyle name="Normal 67 3" xfId="298"/>
    <cellStyle name="Normal 67 3 2" xfId="862"/>
    <cellStyle name="Normal 67 3 2 2" xfId="2032"/>
    <cellStyle name="Normal 67 3 2 2 2" xfId="3834"/>
    <cellStyle name="Normal 67 3 2 2 2 2" xfId="8349"/>
    <cellStyle name="Normal 67 3 2 2 2 2 2" xfId="17390"/>
    <cellStyle name="Normal 67 3 2 2 2 3" xfId="12877"/>
    <cellStyle name="Normal 67 3 2 2 3" xfId="6555"/>
    <cellStyle name="Normal 67 3 2 2 3 2" xfId="15596"/>
    <cellStyle name="Normal 67 3 2 2 4" xfId="11083"/>
    <cellStyle name="Normal 67 3 2 3" xfId="3833"/>
    <cellStyle name="Normal 67 3 2 3 2" xfId="8348"/>
    <cellStyle name="Normal 67 3 2 3 2 2" xfId="17389"/>
    <cellStyle name="Normal 67 3 2 3 3" xfId="12876"/>
    <cellStyle name="Normal 67 3 2 4" xfId="5427"/>
    <cellStyle name="Normal 67 3 2 4 2" xfId="14468"/>
    <cellStyle name="Normal 67 3 2 5" xfId="9955"/>
    <cellStyle name="Normal 67 3 3" xfId="1468"/>
    <cellStyle name="Normal 67 3 3 2" xfId="3835"/>
    <cellStyle name="Normal 67 3 3 2 2" xfId="8350"/>
    <cellStyle name="Normal 67 3 3 2 2 2" xfId="17391"/>
    <cellStyle name="Normal 67 3 3 2 3" xfId="12878"/>
    <cellStyle name="Normal 67 3 3 3" xfId="5991"/>
    <cellStyle name="Normal 67 3 3 3 2" xfId="15032"/>
    <cellStyle name="Normal 67 3 3 4" xfId="10519"/>
    <cellStyle name="Normal 67 3 4" xfId="3832"/>
    <cellStyle name="Normal 67 3 4 2" xfId="8347"/>
    <cellStyle name="Normal 67 3 4 2 2" xfId="17388"/>
    <cellStyle name="Normal 67 3 4 3" xfId="12875"/>
    <cellStyle name="Normal 67 3 5" xfId="4863"/>
    <cellStyle name="Normal 67 3 5 2" xfId="13904"/>
    <cellStyle name="Normal 67 3 6" xfId="9391"/>
    <cellStyle name="Normal 67 4" xfId="486"/>
    <cellStyle name="Normal 67 4 2" xfId="1050"/>
    <cellStyle name="Normal 67 4 2 2" xfId="2220"/>
    <cellStyle name="Normal 67 4 2 2 2" xfId="3838"/>
    <cellStyle name="Normal 67 4 2 2 2 2" xfId="8353"/>
    <cellStyle name="Normal 67 4 2 2 2 2 2" xfId="17394"/>
    <cellStyle name="Normal 67 4 2 2 2 3" xfId="12881"/>
    <cellStyle name="Normal 67 4 2 2 3" xfId="6743"/>
    <cellStyle name="Normal 67 4 2 2 3 2" xfId="15784"/>
    <cellStyle name="Normal 67 4 2 2 4" xfId="11271"/>
    <cellStyle name="Normal 67 4 2 3" xfId="3837"/>
    <cellStyle name="Normal 67 4 2 3 2" xfId="8352"/>
    <cellStyle name="Normal 67 4 2 3 2 2" xfId="17393"/>
    <cellStyle name="Normal 67 4 2 3 3" xfId="12880"/>
    <cellStyle name="Normal 67 4 2 4" xfId="5615"/>
    <cellStyle name="Normal 67 4 2 4 2" xfId="14656"/>
    <cellStyle name="Normal 67 4 2 5" xfId="10143"/>
    <cellStyle name="Normal 67 4 3" xfId="1656"/>
    <cellStyle name="Normal 67 4 3 2" xfId="3839"/>
    <cellStyle name="Normal 67 4 3 2 2" xfId="8354"/>
    <cellStyle name="Normal 67 4 3 2 2 2" xfId="17395"/>
    <cellStyle name="Normal 67 4 3 2 3" xfId="12882"/>
    <cellStyle name="Normal 67 4 3 3" xfId="6179"/>
    <cellStyle name="Normal 67 4 3 3 2" xfId="15220"/>
    <cellStyle name="Normal 67 4 3 4" xfId="10707"/>
    <cellStyle name="Normal 67 4 4" xfId="3836"/>
    <cellStyle name="Normal 67 4 4 2" xfId="8351"/>
    <cellStyle name="Normal 67 4 4 2 2" xfId="17392"/>
    <cellStyle name="Normal 67 4 4 3" xfId="12879"/>
    <cellStyle name="Normal 67 4 5" xfId="5051"/>
    <cellStyle name="Normal 67 4 5 2" xfId="14092"/>
    <cellStyle name="Normal 67 4 6" xfId="9579"/>
    <cellStyle name="Normal 67 5" xfId="674"/>
    <cellStyle name="Normal 67 5 2" xfId="1844"/>
    <cellStyle name="Normal 67 5 2 2" xfId="3841"/>
    <cellStyle name="Normal 67 5 2 2 2" xfId="8356"/>
    <cellStyle name="Normal 67 5 2 2 2 2" xfId="17397"/>
    <cellStyle name="Normal 67 5 2 2 3" xfId="12884"/>
    <cellStyle name="Normal 67 5 2 3" xfId="6367"/>
    <cellStyle name="Normal 67 5 2 3 2" xfId="15408"/>
    <cellStyle name="Normal 67 5 2 4" xfId="10895"/>
    <cellStyle name="Normal 67 5 3" xfId="3840"/>
    <cellStyle name="Normal 67 5 3 2" xfId="8355"/>
    <cellStyle name="Normal 67 5 3 2 2" xfId="17396"/>
    <cellStyle name="Normal 67 5 3 3" xfId="12883"/>
    <cellStyle name="Normal 67 5 4" xfId="5239"/>
    <cellStyle name="Normal 67 5 4 2" xfId="14280"/>
    <cellStyle name="Normal 67 5 5" xfId="9767"/>
    <cellStyle name="Normal 67 6" xfId="1280"/>
    <cellStyle name="Normal 67 6 2" xfId="3842"/>
    <cellStyle name="Normal 67 6 2 2" xfId="8357"/>
    <cellStyle name="Normal 67 6 2 2 2" xfId="17398"/>
    <cellStyle name="Normal 67 6 2 3" xfId="12885"/>
    <cellStyle name="Normal 67 6 3" xfId="5803"/>
    <cellStyle name="Normal 67 6 3 2" xfId="14844"/>
    <cellStyle name="Normal 67 6 4" xfId="10331"/>
    <cellStyle name="Normal 67 7" xfId="3819"/>
    <cellStyle name="Normal 67 7 2" xfId="8334"/>
    <cellStyle name="Normal 67 7 2 2" xfId="17375"/>
    <cellStyle name="Normal 67 7 3" xfId="12862"/>
    <cellStyle name="Normal 67 8" xfId="4675"/>
    <cellStyle name="Normal 67 8 2" xfId="13716"/>
    <cellStyle name="Normal 67 9" xfId="9203"/>
    <cellStyle name="Normal 68" xfId="68"/>
    <cellStyle name="Normal 68 2" xfId="164"/>
    <cellStyle name="Normal 68 2 2" xfId="393"/>
    <cellStyle name="Normal 68 2 2 2" xfId="957"/>
    <cellStyle name="Normal 68 2 2 2 2" xfId="2127"/>
    <cellStyle name="Normal 68 2 2 2 2 2" xfId="3847"/>
    <cellStyle name="Normal 68 2 2 2 2 2 2" xfId="8362"/>
    <cellStyle name="Normal 68 2 2 2 2 2 2 2" xfId="17403"/>
    <cellStyle name="Normal 68 2 2 2 2 2 3" xfId="12890"/>
    <cellStyle name="Normal 68 2 2 2 2 3" xfId="6650"/>
    <cellStyle name="Normal 68 2 2 2 2 3 2" xfId="15691"/>
    <cellStyle name="Normal 68 2 2 2 2 4" xfId="11178"/>
    <cellStyle name="Normal 68 2 2 2 3" xfId="3846"/>
    <cellStyle name="Normal 68 2 2 2 3 2" xfId="8361"/>
    <cellStyle name="Normal 68 2 2 2 3 2 2" xfId="17402"/>
    <cellStyle name="Normal 68 2 2 2 3 3" xfId="12889"/>
    <cellStyle name="Normal 68 2 2 2 4" xfId="5522"/>
    <cellStyle name="Normal 68 2 2 2 4 2" xfId="14563"/>
    <cellStyle name="Normal 68 2 2 2 5" xfId="10050"/>
    <cellStyle name="Normal 68 2 2 3" xfId="1563"/>
    <cellStyle name="Normal 68 2 2 3 2" xfId="3848"/>
    <cellStyle name="Normal 68 2 2 3 2 2" xfId="8363"/>
    <cellStyle name="Normal 68 2 2 3 2 2 2" xfId="17404"/>
    <cellStyle name="Normal 68 2 2 3 2 3" xfId="12891"/>
    <cellStyle name="Normal 68 2 2 3 3" xfId="6086"/>
    <cellStyle name="Normal 68 2 2 3 3 2" xfId="15127"/>
    <cellStyle name="Normal 68 2 2 3 4" xfId="10614"/>
    <cellStyle name="Normal 68 2 2 4" xfId="3845"/>
    <cellStyle name="Normal 68 2 2 4 2" xfId="8360"/>
    <cellStyle name="Normal 68 2 2 4 2 2" xfId="17401"/>
    <cellStyle name="Normal 68 2 2 4 3" xfId="12888"/>
    <cellStyle name="Normal 68 2 2 5" xfId="4958"/>
    <cellStyle name="Normal 68 2 2 5 2" xfId="13999"/>
    <cellStyle name="Normal 68 2 2 6" xfId="9486"/>
    <cellStyle name="Normal 68 2 3" xfId="581"/>
    <cellStyle name="Normal 68 2 3 2" xfId="1145"/>
    <cellStyle name="Normal 68 2 3 2 2" xfId="2315"/>
    <cellStyle name="Normal 68 2 3 2 2 2" xfId="3851"/>
    <cellStyle name="Normal 68 2 3 2 2 2 2" xfId="8366"/>
    <cellStyle name="Normal 68 2 3 2 2 2 2 2" xfId="17407"/>
    <cellStyle name="Normal 68 2 3 2 2 2 3" xfId="12894"/>
    <cellStyle name="Normal 68 2 3 2 2 3" xfId="6838"/>
    <cellStyle name="Normal 68 2 3 2 2 3 2" xfId="15879"/>
    <cellStyle name="Normal 68 2 3 2 2 4" xfId="11366"/>
    <cellStyle name="Normal 68 2 3 2 3" xfId="3850"/>
    <cellStyle name="Normal 68 2 3 2 3 2" xfId="8365"/>
    <cellStyle name="Normal 68 2 3 2 3 2 2" xfId="17406"/>
    <cellStyle name="Normal 68 2 3 2 3 3" xfId="12893"/>
    <cellStyle name="Normal 68 2 3 2 4" xfId="5710"/>
    <cellStyle name="Normal 68 2 3 2 4 2" xfId="14751"/>
    <cellStyle name="Normal 68 2 3 2 5" xfId="10238"/>
    <cellStyle name="Normal 68 2 3 3" xfId="1751"/>
    <cellStyle name="Normal 68 2 3 3 2" xfId="3852"/>
    <cellStyle name="Normal 68 2 3 3 2 2" xfId="8367"/>
    <cellStyle name="Normal 68 2 3 3 2 2 2" xfId="17408"/>
    <cellStyle name="Normal 68 2 3 3 2 3" xfId="12895"/>
    <cellStyle name="Normal 68 2 3 3 3" xfId="6274"/>
    <cellStyle name="Normal 68 2 3 3 3 2" xfId="15315"/>
    <cellStyle name="Normal 68 2 3 3 4" xfId="10802"/>
    <cellStyle name="Normal 68 2 3 4" xfId="3849"/>
    <cellStyle name="Normal 68 2 3 4 2" xfId="8364"/>
    <cellStyle name="Normal 68 2 3 4 2 2" xfId="17405"/>
    <cellStyle name="Normal 68 2 3 4 3" xfId="12892"/>
    <cellStyle name="Normal 68 2 3 5" xfId="5146"/>
    <cellStyle name="Normal 68 2 3 5 2" xfId="14187"/>
    <cellStyle name="Normal 68 2 3 6" xfId="9674"/>
    <cellStyle name="Normal 68 2 4" xfId="769"/>
    <cellStyle name="Normal 68 2 4 2" xfId="1939"/>
    <cellStyle name="Normal 68 2 4 2 2" xfId="3854"/>
    <cellStyle name="Normal 68 2 4 2 2 2" xfId="8369"/>
    <cellStyle name="Normal 68 2 4 2 2 2 2" xfId="17410"/>
    <cellStyle name="Normal 68 2 4 2 2 3" xfId="12897"/>
    <cellStyle name="Normal 68 2 4 2 3" xfId="6462"/>
    <cellStyle name="Normal 68 2 4 2 3 2" xfId="15503"/>
    <cellStyle name="Normal 68 2 4 2 4" xfId="10990"/>
    <cellStyle name="Normal 68 2 4 3" xfId="3853"/>
    <cellStyle name="Normal 68 2 4 3 2" xfId="8368"/>
    <cellStyle name="Normal 68 2 4 3 2 2" xfId="17409"/>
    <cellStyle name="Normal 68 2 4 3 3" xfId="12896"/>
    <cellStyle name="Normal 68 2 4 4" xfId="5334"/>
    <cellStyle name="Normal 68 2 4 4 2" xfId="14375"/>
    <cellStyle name="Normal 68 2 4 5" xfId="9862"/>
    <cellStyle name="Normal 68 2 5" xfId="1375"/>
    <cellStyle name="Normal 68 2 5 2" xfId="3855"/>
    <cellStyle name="Normal 68 2 5 2 2" xfId="8370"/>
    <cellStyle name="Normal 68 2 5 2 2 2" xfId="17411"/>
    <cellStyle name="Normal 68 2 5 2 3" xfId="12898"/>
    <cellStyle name="Normal 68 2 5 3" xfId="5898"/>
    <cellStyle name="Normal 68 2 5 3 2" xfId="14939"/>
    <cellStyle name="Normal 68 2 5 4" xfId="10426"/>
    <cellStyle name="Normal 68 2 6" xfId="3844"/>
    <cellStyle name="Normal 68 2 6 2" xfId="8359"/>
    <cellStyle name="Normal 68 2 6 2 2" xfId="17400"/>
    <cellStyle name="Normal 68 2 6 3" xfId="12887"/>
    <cellStyle name="Normal 68 2 7" xfId="4770"/>
    <cellStyle name="Normal 68 2 7 2" xfId="13811"/>
    <cellStyle name="Normal 68 2 8" xfId="9298"/>
    <cellStyle name="Normal 68 3" xfId="299"/>
    <cellStyle name="Normal 68 3 2" xfId="863"/>
    <cellStyle name="Normal 68 3 2 2" xfId="2033"/>
    <cellStyle name="Normal 68 3 2 2 2" xfId="3858"/>
    <cellStyle name="Normal 68 3 2 2 2 2" xfId="8373"/>
    <cellStyle name="Normal 68 3 2 2 2 2 2" xfId="17414"/>
    <cellStyle name="Normal 68 3 2 2 2 3" xfId="12901"/>
    <cellStyle name="Normal 68 3 2 2 3" xfId="6556"/>
    <cellStyle name="Normal 68 3 2 2 3 2" xfId="15597"/>
    <cellStyle name="Normal 68 3 2 2 4" xfId="11084"/>
    <cellStyle name="Normal 68 3 2 3" xfId="3857"/>
    <cellStyle name="Normal 68 3 2 3 2" xfId="8372"/>
    <cellStyle name="Normal 68 3 2 3 2 2" xfId="17413"/>
    <cellStyle name="Normal 68 3 2 3 3" xfId="12900"/>
    <cellStyle name="Normal 68 3 2 4" xfId="5428"/>
    <cellStyle name="Normal 68 3 2 4 2" xfId="14469"/>
    <cellStyle name="Normal 68 3 2 5" xfId="9956"/>
    <cellStyle name="Normal 68 3 3" xfId="1469"/>
    <cellStyle name="Normal 68 3 3 2" xfId="3859"/>
    <cellStyle name="Normal 68 3 3 2 2" xfId="8374"/>
    <cellStyle name="Normal 68 3 3 2 2 2" xfId="17415"/>
    <cellStyle name="Normal 68 3 3 2 3" xfId="12902"/>
    <cellStyle name="Normal 68 3 3 3" xfId="5992"/>
    <cellStyle name="Normal 68 3 3 3 2" xfId="15033"/>
    <cellStyle name="Normal 68 3 3 4" xfId="10520"/>
    <cellStyle name="Normal 68 3 4" xfId="3856"/>
    <cellStyle name="Normal 68 3 4 2" xfId="8371"/>
    <cellStyle name="Normal 68 3 4 2 2" xfId="17412"/>
    <cellStyle name="Normal 68 3 4 3" xfId="12899"/>
    <cellStyle name="Normal 68 3 5" xfId="4864"/>
    <cellStyle name="Normal 68 3 5 2" xfId="13905"/>
    <cellStyle name="Normal 68 3 6" xfId="9392"/>
    <cellStyle name="Normal 68 4" xfId="487"/>
    <cellStyle name="Normal 68 4 2" xfId="1051"/>
    <cellStyle name="Normal 68 4 2 2" xfId="2221"/>
    <cellStyle name="Normal 68 4 2 2 2" xfId="3862"/>
    <cellStyle name="Normal 68 4 2 2 2 2" xfId="8377"/>
    <cellStyle name="Normal 68 4 2 2 2 2 2" xfId="17418"/>
    <cellStyle name="Normal 68 4 2 2 2 3" xfId="12905"/>
    <cellStyle name="Normal 68 4 2 2 3" xfId="6744"/>
    <cellStyle name="Normal 68 4 2 2 3 2" xfId="15785"/>
    <cellStyle name="Normal 68 4 2 2 4" xfId="11272"/>
    <cellStyle name="Normal 68 4 2 3" xfId="3861"/>
    <cellStyle name="Normal 68 4 2 3 2" xfId="8376"/>
    <cellStyle name="Normal 68 4 2 3 2 2" xfId="17417"/>
    <cellStyle name="Normal 68 4 2 3 3" xfId="12904"/>
    <cellStyle name="Normal 68 4 2 4" xfId="5616"/>
    <cellStyle name="Normal 68 4 2 4 2" xfId="14657"/>
    <cellStyle name="Normal 68 4 2 5" xfId="10144"/>
    <cellStyle name="Normal 68 4 3" xfId="1657"/>
    <cellStyle name="Normal 68 4 3 2" xfId="3863"/>
    <cellStyle name="Normal 68 4 3 2 2" xfId="8378"/>
    <cellStyle name="Normal 68 4 3 2 2 2" xfId="17419"/>
    <cellStyle name="Normal 68 4 3 2 3" xfId="12906"/>
    <cellStyle name="Normal 68 4 3 3" xfId="6180"/>
    <cellStyle name="Normal 68 4 3 3 2" xfId="15221"/>
    <cellStyle name="Normal 68 4 3 4" xfId="10708"/>
    <cellStyle name="Normal 68 4 4" xfId="3860"/>
    <cellStyle name="Normal 68 4 4 2" xfId="8375"/>
    <cellStyle name="Normal 68 4 4 2 2" xfId="17416"/>
    <cellStyle name="Normal 68 4 4 3" xfId="12903"/>
    <cellStyle name="Normal 68 4 5" xfId="5052"/>
    <cellStyle name="Normal 68 4 5 2" xfId="14093"/>
    <cellStyle name="Normal 68 4 6" xfId="9580"/>
    <cellStyle name="Normal 68 5" xfId="675"/>
    <cellStyle name="Normal 68 5 2" xfId="1845"/>
    <cellStyle name="Normal 68 5 2 2" xfId="3865"/>
    <cellStyle name="Normal 68 5 2 2 2" xfId="8380"/>
    <cellStyle name="Normal 68 5 2 2 2 2" xfId="17421"/>
    <cellStyle name="Normal 68 5 2 2 3" xfId="12908"/>
    <cellStyle name="Normal 68 5 2 3" xfId="6368"/>
    <cellStyle name="Normal 68 5 2 3 2" xfId="15409"/>
    <cellStyle name="Normal 68 5 2 4" xfId="10896"/>
    <cellStyle name="Normal 68 5 3" xfId="3864"/>
    <cellStyle name="Normal 68 5 3 2" xfId="8379"/>
    <cellStyle name="Normal 68 5 3 2 2" xfId="17420"/>
    <cellStyle name="Normal 68 5 3 3" xfId="12907"/>
    <cellStyle name="Normal 68 5 4" xfId="5240"/>
    <cellStyle name="Normal 68 5 4 2" xfId="14281"/>
    <cellStyle name="Normal 68 5 5" xfId="9768"/>
    <cellStyle name="Normal 68 6" xfId="1281"/>
    <cellStyle name="Normal 68 6 2" xfId="3866"/>
    <cellStyle name="Normal 68 6 2 2" xfId="8381"/>
    <cellStyle name="Normal 68 6 2 2 2" xfId="17422"/>
    <cellStyle name="Normal 68 6 2 3" xfId="12909"/>
    <cellStyle name="Normal 68 6 3" xfId="5804"/>
    <cellStyle name="Normal 68 6 3 2" xfId="14845"/>
    <cellStyle name="Normal 68 6 4" xfId="10332"/>
    <cellStyle name="Normal 68 7" xfId="3843"/>
    <cellStyle name="Normal 68 7 2" xfId="8358"/>
    <cellStyle name="Normal 68 7 2 2" xfId="17399"/>
    <cellStyle name="Normal 68 7 3" xfId="12886"/>
    <cellStyle name="Normal 68 8" xfId="4676"/>
    <cellStyle name="Normal 68 8 2" xfId="13717"/>
    <cellStyle name="Normal 68 9" xfId="9204"/>
    <cellStyle name="Normal 69" xfId="69"/>
    <cellStyle name="Normal 69 2" xfId="165"/>
    <cellStyle name="Normal 69 2 2" xfId="394"/>
    <cellStyle name="Normal 69 2 2 2" xfId="958"/>
    <cellStyle name="Normal 69 2 2 2 2" xfId="2128"/>
    <cellStyle name="Normal 69 2 2 2 2 2" xfId="3871"/>
    <cellStyle name="Normal 69 2 2 2 2 2 2" xfId="8386"/>
    <cellStyle name="Normal 69 2 2 2 2 2 2 2" xfId="17427"/>
    <cellStyle name="Normal 69 2 2 2 2 2 3" xfId="12914"/>
    <cellStyle name="Normal 69 2 2 2 2 3" xfId="6651"/>
    <cellStyle name="Normal 69 2 2 2 2 3 2" xfId="15692"/>
    <cellStyle name="Normal 69 2 2 2 2 4" xfId="11179"/>
    <cellStyle name="Normal 69 2 2 2 3" xfId="3870"/>
    <cellStyle name="Normal 69 2 2 2 3 2" xfId="8385"/>
    <cellStyle name="Normal 69 2 2 2 3 2 2" xfId="17426"/>
    <cellStyle name="Normal 69 2 2 2 3 3" xfId="12913"/>
    <cellStyle name="Normal 69 2 2 2 4" xfId="5523"/>
    <cellStyle name="Normal 69 2 2 2 4 2" xfId="14564"/>
    <cellStyle name="Normal 69 2 2 2 5" xfId="10051"/>
    <cellStyle name="Normal 69 2 2 3" xfId="1564"/>
    <cellStyle name="Normal 69 2 2 3 2" xfId="3872"/>
    <cellStyle name="Normal 69 2 2 3 2 2" xfId="8387"/>
    <cellStyle name="Normal 69 2 2 3 2 2 2" xfId="17428"/>
    <cellStyle name="Normal 69 2 2 3 2 3" xfId="12915"/>
    <cellStyle name="Normal 69 2 2 3 3" xfId="6087"/>
    <cellStyle name="Normal 69 2 2 3 3 2" xfId="15128"/>
    <cellStyle name="Normal 69 2 2 3 4" xfId="10615"/>
    <cellStyle name="Normal 69 2 2 4" xfId="3869"/>
    <cellStyle name="Normal 69 2 2 4 2" xfId="8384"/>
    <cellStyle name="Normal 69 2 2 4 2 2" xfId="17425"/>
    <cellStyle name="Normal 69 2 2 4 3" xfId="12912"/>
    <cellStyle name="Normal 69 2 2 5" xfId="4959"/>
    <cellStyle name="Normal 69 2 2 5 2" xfId="14000"/>
    <cellStyle name="Normal 69 2 2 6" xfId="9487"/>
    <cellStyle name="Normal 69 2 3" xfId="582"/>
    <cellStyle name="Normal 69 2 3 2" xfId="1146"/>
    <cellStyle name="Normal 69 2 3 2 2" xfId="2316"/>
    <cellStyle name="Normal 69 2 3 2 2 2" xfId="3875"/>
    <cellStyle name="Normal 69 2 3 2 2 2 2" xfId="8390"/>
    <cellStyle name="Normal 69 2 3 2 2 2 2 2" xfId="17431"/>
    <cellStyle name="Normal 69 2 3 2 2 2 3" xfId="12918"/>
    <cellStyle name="Normal 69 2 3 2 2 3" xfId="6839"/>
    <cellStyle name="Normal 69 2 3 2 2 3 2" xfId="15880"/>
    <cellStyle name="Normal 69 2 3 2 2 4" xfId="11367"/>
    <cellStyle name="Normal 69 2 3 2 3" xfId="3874"/>
    <cellStyle name="Normal 69 2 3 2 3 2" xfId="8389"/>
    <cellStyle name="Normal 69 2 3 2 3 2 2" xfId="17430"/>
    <cellStyle name="Normal 69 2 3 2 3 3" xfId="12917"/>
    <cellStyle name="Normal 69 2 3 2 4" xfId="5711"/>
    <cellStyle name="Normal 69 2 3 2 4 2" xfId="14752"/>
    <cellStyle name="Normal 69 2 3 2 5" xfId="10239"/>
    <cellStyle name="Normal 69 2 3 3" xfId="1752"/>
    <cellStyle name="Normal 69 2 3 3 2" xfId="3876"/>
    <cellStyle name="Normal 69 2 3 3 2 2" xfId="8391"/>
    <cellStyle name="Normal 69 2 3 3 2 2 2" xfId="17432"/>
    <cellStyle name="Normal 69 2 3 3 2 3" xfId="12919"/>
    <cellStyle name="Normal 69 2 3 3 3" xfId="6275"/>
    <cellStyle name="Normal 69 2 3 3 3 2" xfId="15316"/>
    <cellStyle name="Normal 69 2 3 3 4" xfId="10803"/>
    <cellStyle name="Normal 69 2 3 4" xfId="3873"/>
    <cellStyle name="Normal 69 2 3 4 2" xfId="8388"/>
    <cellStyle name="Normal 69 2 3 4 2 2" xfId="17429"/>
    <cellStyle name="Normal 69 2 3 4 3" xfId="12916"/>
    <cellStyle name="Normal 69 2 3 5" xfId="5147"/>
    <cellStyle name="Normal 69 2 3 5 2" xfId="14188"/>
    <cellStyle name="Normal 69 2 3 6" xfId="9675"/>
    <cellStyle name="Normal 69 2 4" xfId="770"/>
    <cellStyle name="Normal 69 2 4 2" xfId="1940"/>
    <cellStyle name="Normal 69 2 4 2 2" xfId="3878"/>
    <cellStyle name="Normal 69 2 4 2 2 2" xfId="8393"/>
    <cellStyle name="Normal 69 2 4 2 2 2 2" xfId="17434"/>
    <cellStyle name="Normal 69 2 4 2 2 3" xfId="12921"/>
    <cellStyle name="Normal 69 2 4 2 3" xfId="6463"/>
    <cellStyle name="Normal 69 2 4 2 3 2" xfId="15504"/>
    <cellStyle name="Normal 69 2 4 2 4" xfId="10991"/>
    <cellStyle name="Normal 69 2 4 3" xfId="3877"/>
    <cellStyle name="Normal 69 2 4 3 2" xfId="8392"/>
    <cellStyle name="Normal 69 2 4 3 2 2" xfId="17433"/>
    <cellStyle name="Normal 69 2 4 3 3" xfId="12920"/>
    <cellStyle name="Normal 69 2 4 4" xfId="5335"/>
    <cellStyle name="Normal 69 2 4 4 2" xfId="14376"/>
    <cellStyle name="Normal 69 2 4 5" xfId="9863"/>
    <cellStyle name="Normal 69 2 5" xfId="1376"/>
    <cellStyle name="Normal 69 2 5 2" xfId="3879"/>
    <cellStyle name="Normal 69 2 5 2 2" xfId="8394"/>
    <cellStyle name="Normal 69 2 5 2 2 2" xfId="17435"/>
    <cellStyle name="Normal 69 2 5 2 3" xfId="12922"/>
    <cellStyle name="Normal 69 2 5 3" xfId="5899"/>
    <cellStyle name="Normal 69 2 5 3 2" xfId="14940"/>
    <cellStyle name="Normal 69 2 5 4" xfId="10427"/>
    <cellStyle name="Normal 69 2 6" xfId="3868"/>
    <cellStyle name="Normal 69 2 6 2" xfId="8383"/>
    <cellStyle name="Normal 69 2 6 2 2" xfId="17424"/>
    <cellStyle name="Normal 69 2 6 3" xfId="12911"/>
    <cellStyle name="Normal 69 2 7" xfId="4771"/>
    <cellStyle name="Normal 69 2 7 2" xfId="13812"/>
    <cellStyle name="Normal 69 2 8" xfId="9299"/>
    <cellStyle name="Normal 69 3" xfId="300"/>
    <cellStyle name="Normal 69 3 2" xfId="864"/>
    <cellStyle name="Normal 69 3 2 2" xfId="2034"/>
    <cellStyle name="Normal 69 3 2 2 2" xfId="3882"/>
    <cellStyle name="Normal 69 3 2 2 2 2" xfId="8397"/>
    <cellStyle name="Normal 69 3 2 2 2 2 2" xfId="17438"/>
    <cellStyle name="Normal 69 3 2 2 2 3" xfId="12925"/>
    <cellStyle name="Normal 69 3 2 2 3" xfId="6557"/>
    <cellStyle name="Normal 69 3 2 2 3 2" xfId="15598"/>
    <cellStyle name="Normal 69 3 2 2 4" xfId="11085"/>
    <cellStyle name="Normal 69 3 2 3" xfId="3881"/>
    <cellStyle name="Normal 69 3 2 3 2" xfId="8396"/>
    <cellStyle name="Normal 69 3 2 3 2 2" xfId="17437"/>
    <cellStyle name="Normal 69 3 2 3 3" xfId="12924"/>
    <cellStyle name="Normal 69 3 2 4" xfId="5429"/>
    <cellStyle name="Normal 69 3 2 4 2" xfId="14470"/>
    <cellStyle name="Normal 69 3 2 5" xfId="9957"/>
    <cellStyle name="Normal 69 3 3" xfId="1470"/>
    <cellStyle name="Normal 69 3 3 2" xfId="3883"/>
    <cellStyle name="Normal 69 3 3 2 2" xfId="8398"/>
    <cellStyle name="Normal 69 3 3 2 2 2" xfId="17439"/>
    <cellStyle name="Normal 69 3 3 2 3" xfId="12926"/>
    <cellStyle name="Normal 69 3 3 3" xfId="5993"/>
    <cellStyle name="Normal 69 3 3 3 2" xfId="15034"/>
    <cellStyle name="Normal 69 3 3 4" xfId="10521"/>
    <cellStyle name="Normal 69 3 4" xfId="3880"/>
    <cellStyle name="Normal 69 3 4 2" xfId="8395"/>
    <cellStyle name="Normal 69 3 4 2 2" xfId="17436"/>
    <cellStyle name="Normal 69 3 4 3" xfId="12923"/>
    <cellStyle name="Normal 69 3 5" xfId="4865"/>
    <cellStyle name="Normal 69 3 5 2" xfId="13906"/>
    <cellStyle name="Normal 69 3 6" xfId="9393"/>
    <cellStyle name="Normal 69 4" xfId="488"/>
    <cellStyle name="Normal 69 4 2" xfId="1052"/>
    <cellStyle name="Normal 69 4 2 2" xfId="2222"/>
    <cellStyle name="Normal 69 4 2 2 2" xfId="3886"/>
    <cellStyle name="Normal 69 4 2 2 2 2" xfId="8401"/>
    <cellStyle name="Normal 69 4 2 2 2 2 2" xfId="17442"/>
    <cellStyle name="Normal 69 4 2 2 2 3" xfId="12929"/>
    <cellStyle name="Normal 69 4 2 2 3" xfId="6745"/>
    <cellStyle name="Normal 69 4 2 2 3 2" xfId="15786"/>
    <cellStyle name="Normal 69 4 2 2 4" xfId="11273"/>
    <cellStyle name="Normal 69 4 2 3" xfId="3885"/>
    <cellStyle name="Normal 69 4 2 3 2" xfId="8400"/>
    <cellStyle name="Normal 69 4 2 3 2 2" xfId="17441"/>
    <cellStyle name="Normal 69 4 2 3 3" xfId="12928"/>
    <cellStyle name="Normal 69 4 2 4" xfId="5617"/>
    <cellStyle name="Normal 69 4 2 4 2" xfId="14658"/>
    <cellStyle name="Normal 69 4 2 5" xfId="10145"/>
    <cellStyle name="Normal 69 4 3" xfId="1658"/>
    <cellStyle name="Normal 69 4 3 2" xfId="3887"/>
    <cellStyle name="Normal 69 4 3 2 2" xfId="8402"/>
    <cellStyle name="Normal 69 4 3 2 2 2" xfId="17443"/>
    <cellStyle name="Normal 69 4 3 2 3" xfId="12930"/>
    <cellStyle name="Normal 69 4 3 3" xfId="6181"/>
    <cellStyle name="Normal 69 4 3 3 2" xfId="15222"/>
    <cellStyle name="Normal 69 4 3 4" xfId="10709"/>
    <cellStyle name="Normal 69 4 4" xfId="3884"/>
    <cellStyle name="Normal 69 4 4 2" xfId="8399"/>
    <cellStyle name="Normal 69 4 4 2 2" xfId="17440"/>
    <cellStyle name="Normal 69 4 4 3" xfId="12927"/>
    <cellStyle name="Normal 69 4 5" xfId="5053"/>
    <cellStyle name="Normal 69 4 5 2" xfId="14094"/>
    <cellStyle name="Normal 69 4 6" xfId="9581"/>
    <cellStyle name="Normal 69 5" xfId="676"/>
    <cellStyle name="Normal 69 5 2" xfId="1846"/>
    <cellStyle name="Normal 69 5 2 2" xfId="3889"/>
    <cellStyle name="Normal 69 5 2 2 2" xfId="8404"/>
    <cellStyle name="Normal 69 5 2 2 2 2" xfId="17445"/>
    <cellStyle name="Normal 69 5 2 2 3" xfId="12932"/>
    <cellStyle name="Normal 69 5 2 3" xfId="6369"/>
    <cellStyle name="Normal 69 5 2 3 2" xfId="15410"/>
    <cellStyle name="Normal 69 5 2 4" xfId="10897"/>
    <cellStyle name="Normal 69 5 3" xfId="3888"/>
    <cellStyle name="Normal 69 5 3 2" xfId="8403"/>
    <cellStyle name="Normal 69 5 3 2 2" xfId="17444"/>
    <cellStyle name="Normal 69 5 3 3" xfId="12931"/>
    <cellStyle name="Normal 69 5 4" xfId="5241"/>
    <cellStyle name="Normal 69 5 4 2" xfId="14282"/>
    <cellStyle name="Normal 69 5 5" xfId="9769"/>
    <cellStyle name="Normal 69 6" xfId="1282"/>
    <cellStyle name="Normal 69 6 2" xfId="3890"/>
    <cellStyle name="Normal 69 6 2 2" xfId="8405"/>
    <cellStyle name="Normal 69 6 2 2 2" xfId="17446"/>
    <cellStyle name="Normal 69 6 2 3" xfId="12933"/>
    <cellStyle name="Normal 69 6 3" xfId="5805"/>
    <cellStyle name="Normal 69 6 3 2" xfId="14846"/>
    <cellStyle name="Normal 69 6 4" xfId="10333"/>
    <cellStyle name="Normal 69 7" xfId="3867"/>
    <cellStyle name="Normal 69 7 2" xfId="8382"/>
    <cellStyle name="Normal 69 7 2 2" xfId="17423"/>
    <cellStyle name="Normal 69 7 3" xfId="12910"/>
    <cellStyle name="Normal 69 8" xfId="4677"/>
    <cellStyle name="Normal 69 8 2" xfId="13718"/>
    <cellStyle name="Normal 69 9" xfId="9205"/>
    <cellStyle name="Normal 7" xfId="3891"/>
    <cellStyle name="Normal 7 2" xfId="9132"/>
    <cellStyle name="Normal 7 2 2" xfId="18171"/>
    <cellStyle name="Normal 70" xfId="70"/>
    <cellStyle name="Normal 70 2" xfId="166"/>
    <cellStyle name="Normal 70 2 2" xfId="395"/>
    <cellStyle name="Normal 70 2 2 2" xfId="959"/>
    <cellStyle name="Normal 70 2 2 2 2" xfId="2129"/>
    <cellStyle name="Normal 70 2 2 2 2 2" xfId="3896"/>
    <cellStyle name="Normal 70 2 2 2 2 2 2" xfId="8410"/>
    <cellStyle name="Normal 70 2 2 2 2 2 2 2" xfId="17451"/>
    <cellStyle name="Normal 70 2 2 2 2 2 3" xfId="12938"/>
    <cellStyle name="Normal 70 2 2 2 2 3" xfId="6652"/>
    <cellStyle name="Normal 70 2 2 2 2 3 2" xfId="15693"/>
    <cellStyle name="Normal 70 2 2 2 2 4" xfId="11180"/>
    <cellStyle name="Normal 70 2 2 2 3" xfId="3895"/>
    <cellStyle name="Normal 70 2 2 2 3 2" xfId="8409"/>
    <cellStyle name="Normal 70 2 2 2 3 2 2" xfId="17450"/>
    <cellStyle name="Normal 70 2 2 2 3 3" xfId="12937"/>
    <cellStyle name="Normal 70 2 2 2 4" xfId="5524"/>
    <cellStyle name="Normal 70 2 2 2 4 2" xfId="14565"/>
    <cellStyle name="Normal 70 2 2 2 5" xfId="10052"/>
    <cellStyle name="Normal 70 2 2 3" xfId="1565"/>
    <cellStyle name="Normal 70 2 2 3 2" xfId="3897"/>
    <cellStyle name="Normal 70 2 2 3 2 2" xfId="8411"/>
    <cellStyle name="Normal 70 2 2 3 2 2 2" xfId="17452"/>
    <cellStyle name="Normal 70 2 2 3 2 3" xfId="12939"/>
    <cellStyle name="Normal 70 2 2 3 3" xfId="6088"/>
    <cellStyle name="Normal 70 2 2 3 3 2" xfId="15129"/>
    <cellStyle name="Normal 70 2 2 3 4" xfId="10616"/>
    <cellStyle name="Normal 70 2 2 4" xfId="3894"/>
    <cellStyle name="Normal 70 2 2 4 2" xfId="8408"/>
    <cellStyle name="Normal 70 2 2 4 2 2" xfId="17449"/>
    <cellStyle name="Normal 70 2 2 4 3" xfId="12936"/>
    <cellStyle name="Normal 70 2 2 5" xfId="4960"/>
    <cellStyle name="Normal 70 2 2 5 2" xfId="14001"/>
    <cellStyle name="Normal 70 2 2 6" xfId="9488"/>
    <cellStyle name="Normal 70 2 3" xfId="583"/>
    <cellStyle name="Normal 70 2 3 2" xfId="1147"/>
    <cellStyle name="Normal 70 2 3 2 2" xfId="2317"/>
    <cellStyle name="Normal 70 2 3 2 2 2" xfId="3900"/>
    <cellStyle name="Normal 70 2 3 2 2 2 2" xfId="8414"/>
    <cellStyle name="Normal 70 2 3 2 2 2 2 2" xfId="17455"/>
    <cellStyle name="Normal 70 2 3 2 2 2 3" xfId="12942"/>
    <cellStyle name="Normal 70 2 3 2 2 3" xfId="6840"/>
    <cellStyle name="Normal 70 2 3 2 2 3 2" xfId="15881"/>
    <cellStyle name="Normal 70 2 3 2 2 4" xfId="11368"/>
    <cellStyle name="Normal 70 2 3 2 3" xfId="3899"/>
    <cellStyle name="Normal 70 2 3 2 3 2" xfId="8413"/>
    <cellStyle name="Normal 70 2 3 2 3 2 2" xfId="17454"/>
    <cellStyle name="Normal 70 2 3 2 3 3" xfId="12941"/>
    <cellStyle name="Normal 70 2 3 2 4" xfId="5712"/>
    <cellStyle name="Normal 70 2 3 2 4 2" xfId="14753"/>
    <cellStyle name="Normal 70 2 3 2 5" xfId="10240"/>
    <cellStyle name="Normal 70 2 3 3" xfId="1753"/>
    <cellStyle name="Normal 70 2 3 3 2" xfId="3901"/>
    <cellStyle name="Normal 70 2 3 3 2 2" xfId="8415"/>
    <cellStyle name="Normal 70 2 3 3 2 2 2" xfId="17456"/>
    <cellStyle name="Normal 70 2 3 3 2 3" xfId="12943"/>
    <cellStyle name="Normal 70 2 3 3 3" xfId="6276"/>
    <cellStyle name="Normal 70 2 3 3 3 2" xfId="15317"/>
    <cellStyle name="Normal 70 2 3 3 4" xfId="10804"/>
    <cellStyle name="Normal 70 2 3 4" xfId="3898"/>
    <cellStyle name="Normal 70 2 3 4 2" xfId="8412"/>
    <cellStyle name="Normal 70 2 3 4 2 2" xfId="17453"/>
    <cellStyle name="Normal 70 2 3 4 3" xfId="12940"/>
    <cellStyle name="Normal 70 2 3 5" xfId="5148"/>
    <cellStyle name="Normal 70 2 3 5 2" xfId="14189"/>
    <cellStyle name="Normal 70 2 3 6" xfId="9676"/>
    <cellStyle name="Normal 70 2 4" xfId="771"/>
    <cellStyle name="Normal 70 2 4 2" xfId="1941"/>
    <cellStyle name="Normal 70 2 4 2 2" xfId="3903"/>
    <cellStyle name="Normal 70 2 4 2 2 2" xfId="8417"/>
    <cellStyle name="Normal 70 2 4 2 2 2 2" xfId="17458"/>
    <cellStyle name="Normal 70 2 4 2 2 3" xfId="12945"/>
    <cellStyle name="Normal 70 2 4 2 3" xfId="6464"/>
    <cellStyle name="Normal 70 2 4 2 3 2" xfId="15505"/>
    <cellStyle name="Normal 70 2 4 2 4" xfId="10992"/>
    <cellStyle name="Normal 70 2 4 3" xfId="3902"/>
    <cellStyle name="Normal 70 2 4 3 2" xfId="8416"/>
    <cellStyle name="Normal 70 2 4 3 2 2" xfId="17457"/>
    <cellStyle name="Normal 70 2 4 3 3" xfId="12944"/>
    <cellStyle name="Normal 70 2 4 4" xfId="5336"/>
    <cellStyle name="Normal 70 2 4 4 2" xfId="14377"/>
    <cellStyle name="Normal 70 2 4 5" xfId="9864"/>
    <cellStyle name="Normal 70 2 5" xfId="1377"/>
    <cellStyle name="Normal 70 2 5 2" xfId="3904"/>
    <cellStyle name="Normal 70 2 5 2 2" xfId="8418"/>
    <cellStyle name="Normal 70 2 5 2 2 2" xfId="17459"/>
    <cellStyle name="Normal 70 2 5 2 3" xfId="12946"/>
    <cellStyle name="Normal 70 2 5 3" xfId="5900"/>
    <cellStyle name="Normal 70 2 5 3 2" xfId="14941"/>
    <cellStyle name="Normal 70 2 5 4" xfId="10428"/>
    <cellStyle name="Normal 70 2 6" xfId="3893"/>
    <cellStyle name="Normal 70 2 6 2" xfId="8407"/>
    <cellStyle name="Normal 70 2 6 2 2" xfId="17448"/>
    <cellStyle name="Normal 70 2 6 3" xfId="12935"/>
    <cellStyle name="Normal 70 2 7" xfId="4772"/>
    <cellStyle name="Normal 70 2 7 2" xfId="13813"/>
    <cellStyle name="Normal 70 2 8" xfId="9300"/>
    <cellStyle name="Normal 70 3" xfId="301"/>
    <cellStyle name="Normal 70 3 2" xfId="865"/>
    <cellStyle name="Normal 70 3 2 2" xfId="2035"/>
    <cellStyle name="Normal 70 3 2 2 2" xfId="3907"/>
    <cellStyle name="Normal 70 3 2 2 2 2" xfId="8421"/>
    <cellStyle name="Normal 70 3 2 2 2 2 2" xfId="17462"/>
    <cellStyle name="Normal 70 3 2 2 2 3" xfId="12949"/>
    <cellStyle name="Normal 70 3 2 2 3" xfId="6558"/>
    <cellStyle name="Normal 70 3 2 2 3 2" xfId="15599"/>
    <cellStyle name="Normal 70 3 2 2 4" xfId="11086"/>
    <cellStyle name="Normal 70 3 2 3" xfId="3906"/>
    <cellStyle name="Normal 70 3 2 3 2" xfId="8420"/>
    <cellStyle name="Normal 70 3 2 3 2 2" xfId="17461"/>
    <cellStyle name="Normal 70 3 2 3 3" xfId="12948"/>
    <cellStyle name="Normal 70 3 2 4" xfId="5430"/>
    <cellStyle name="Normal 70 3 2 4 2" xfId="14471"/>
    <cellStyle name="Normal 70 3 2 5" xfId="9958"/>
    <cellStyle name="Normal 70 3 3" xfId="1471"/>
    <cellStyle name="Normal 70 3 3 2" xfId="3908"/>
    <cellStyle name="Normal 70 3 3 2 2" xfId="8422"/>
    <cellStyle name="Normal 70 3 3 2 2 2" xfId="17463"/>
    <cellStyle name="Normal 70 3 3 2 3" xfId="12950"/>
    <cellStyle name="Normal 70 3 3 3" xfId="5994"/>
    <cellStyle name="Normal 70 3 3 3 2" xfId="15035"/>
    <cellStyle name="Normal 70 3 3 4" xfId="10522"/>
    <cellStyle name="Normal 70 3 4" xfId="3905"/>
    <cellStyle name="Normal 70 3 4 2" xfId="8419"/>
    <cellStyle name="Normal 70 3 4 2 2" xfId="17460"/>
    <cellStyle name="Normal 70 3 4 3" xfId="12947"/>
    <cellStyle name="Normal 70 3 5" xfId="4866"/>
    <cellStyle name="Normal 70 3 5 2" xfId="13907"/>
    <cellStyle name="Normal 70 3 6" xfId="9394"/>
    <cellStyle name="Normal 70 4" xfId="489"/>
    <cellStyle name="Normal 70 4 2" xfId="1053"/>
    <cellStyle name="Normal 70 4 2 2" xfId="2223"/>
    <cellStyle name="Normal 70 4 2 2 2" xfId="3911"/>
    <cellStyle name="Normal 70 4 2 2 2 2" xfId="8425"/>
    <cellStyle name="Normal 70 4 2 2 2 2 2" xfId="17466"/>
    <cellStyle name="Normal 70 4 2 2 2 3" xfId="12953"/>
    <cellStyle name="Normal 70 4 2 2 3" xfId="6746"/>
    <cellStyle name="Normal 70 4 2 2 3 2" xfId="15787"/>
    <cellStyle name="Normal 70 4 2 2 4" xfId="11274"/>
    <cellStyle name="Normal 70 4 2 3" xfId="3910"/>
    <cellStyle name="Normal 70 4 2 3 2" xfId="8424"/>
    <cellStyle name="Normal 70 4 2 3 2 2" xfId="17465"/>
    <cellStyle name="Normal 70 4 2 3 3" xfId="12952"/>
    <cellStyle name="Normal 70 4 2 4" xfId="5618"/>
    <cellStyle name="Normal 70 4 2 4 2" xfId="14659"/>
    <cellStyle name="Normal 70 4 2 5" xfId="10146"/>
    <cellStyle name="Normal 70 4 3" xfId="1659"/>
    <cellStyle name="Normal 70 4 3 2" xfId="3912"/>
    <cellStyle name="Normal 70 4 3 2 2" xfId="8426"/>
    <cellStyle name="Normal 70 4 3 2 2 2" xfId="17467"/>
    <cellStyle name="Normal 70 4 3 2 3" xfId="12954"/>
    <cellStyle name="Normal 70 4 3 3" xfId="6182"/>
    <cellStyle name="Normal 70 4 3 3 2" xfId="15223"/>
    <cellStyle name="Normal 70 4 3 4" xfId="10710"/>
    <cellStyle name="Normal 70 4 4" xfId="3909"/>
    <cellStyle name="Normal 70 4 4 2" xfId="8423"/>
    <cellStyle name="Normal 70 4 4 2 2" xfId="17464"/>
    <cellStyle name="Normal 70 4 4 3" xfId="12951"/>
    <cellStyle name="Normal 70 4 5" xfId="5054"/>
    <cellStyle name="Normal 70 4 5 2" xfId="14095"/>
    <cellStyle name="Normal 70 4 6" xfId="9582"/>
    <cellStyle name="Normal 70 5" xfId="677"/>
    <cellStyle name="Normal 70 5 2" xfId="1847"/>
    <cellStyle name="Normal 70 5 2 2" xfId="3914"/>
    <cellStyle name="Normal 70 5 2 2 2" xfId="8428"/>
    <cellStyle name="Normal 70 5 2 2 2 2" xfId="17469"/>
    <cellStyle name="Normal 70 5 2 2 3" xfId="12956"/>
    <cellStyle name="Normal 70 5 2 3" xfId="6370"/>
    <cellStyle name="Normal 70 5 2 3 2" xfId="15411"/>
    <cellStyle name="Normal 70 5 2 4" xfId="10898"/>
    <cellStyle name="Normal 70 5 3" xfId="3913"/>
    <cellStyle name="Normal 70 5 3 2" xfId="8427"/>
    <cellStyle name="Normal 70 5 3 2 2" xfId="17468"/>
    <cellStyle name="Normal 70 5 3 3" xfId="12955"/>
    <cellStyle name="Normal 70 5 4" xfId="5242"/>
    <cellStyle name="Normal 70 5 4 2" xfId="14283"/>
    <cellStyle name="Normal 70 5 5" xfId="9770"/>
    <cellStyle name="Normal 70 6" xfId="1283"/>
    <cellStyle name="Normal 70 6 2" xfId="3915"/>
    <cellStyle name="Normal 70 6 2 2" xfId="8429"/>
    <cellStyle name="Normal 70 6 2 2 2" xfId="17470"/>
    <cellStyle name="Normal 70 6 2 3" xfId="12957"/>
    <cellStyle name="Normal 70 6 3" xfId="5806"/>
    <cellStyle name="Normal 70 6 3 2" xfId="14847"/>
    <cellStyle name="Normal 70 6 4" xfId="10334"/>
    <cellStyle name="Normal 70 7" xfId="3892"/>
    <cellStyle name="Normal 70 7 2" xfId="8406"/>
    <cellStyle name="Normal 70 7 2 2" xfId="17447"/>
    <cellStyle name="Normal 70 7 3" xfId="12934"/>
    <cellStyle name="Normal 70 8" xfId="4678"/>
    <cellStyle name="Normal 70 8 2" xfId="13719"/>
    <cellStyle name="Normal 70 9" xfId="9206"/>
    <cellStyle name="Normal 71" xfId="71"/>
    <cellStyle name="Normal 71 2" xfId="167"/>
    <cellStyle name="Normal 71 2 2" xfId="396"/>
    <cellStyle name="Normal 71 2 2 2" xfId="960"/>
    <cellStyle name="Normal 71 2 2 2 2" xfId="2130"/>
    <cellStyle name="Normal 71 2 2 2 2 2" xfId="3920"/>
    <cellStyle name="Normal 71 2 2 2 2 2 2" xfId="8434"/>
    <cellStyle name="Normal 71 2 2 2 2 2 2 2" xfId="17475"/>
    <cellStyle name="Normal 71 2 2 2 2 2 3" xfId="12962"/>
    <cellStyle name="Normal 71 2 2 2 2 3" xfId="6653"/>
    <cellStyle name="Normal 71 2 2 2 2 3 2" xfId="15694"/>
    <cellStyle name="Normal 71 2 2 2 2 4" xfId="11181"/>
    <cellStyle name="Normal 71 2 2 2 3" xfId="3919"/>
    <cellStyle name="Normal 71 2 2 2 3 2" xfId="8433"/>
    <cellStyle name="Normal 71 2 2 2 3 2 2" xfId="17474"/>
    <cellStyle name="Normal 71 2 2 2 3 3" xfId="12961"/>
    <cellStyle name="Normal 71 2 2 2 4" xfId="5525"/>
    <cellStyle name="Normal 71 2 2 2 4 2" xfId="14566"/>
    <cellStyle name="Normal 71 2 2 2 5" xfId="10053"/>
    <cellStyle name="Normal 71 2 2 3" xfId="1566"/>
    <cellStyle name="Normal 71 2 2 3 2" xfId="3921"/>
    <cellStyle name="Normal 71 2 2 3 2 2" xfId="8435"/>
    <cellStyle name="Normal 71 2 2 3 2 2 2" xfId="17476"/>
    <cellStyle name="Normal 71 2 2 3 2 3" xfId="12963"/>
    <cellStyle name="Normal 71 2 2 3 3" xfId="6089"/>
    <cellStyle name="Normal 71 2 2 3 3 2" xfId="15130"/>
    <cellStyle name="Normal 71 2 2 3 4" xfId="10617"/>
    <cellStyle name="Normal 71 2 2 4" xfId="3918"/>
    <cellStyle name="Normal 71 2 2 4 2" xfId="8432"/>
    <cellStyle name="Normal 71 2 2 4 2 2" xfId="17473"/>
    <cellStyle name="Normal 71 2 2 4 3" xfId="12960"/>
    <cellStyle name="Normal 71 2 2 5" xfId="4961"/>
    <cellStyle name="Normal 71 2 2 5 2" xfId="14002"/>
    <cellStyle name="Normal 71 2 2 6" xfId="9489"/>
    <cellStyle name="Normal 71 2 3" xfId="584"/>
    <cellStyle name="Normal 71 2 3 2" xfId="1148"/>
    <cellStyle name="Normal 71 2 3 2 2" xfId="2318"/>
    <cellStyle name="Normal 71 2 3 2 2 2" xfId="3924"/>
    <cellStyle name="Normal 71 2 3 2 2 2 2" xfId="8438"/>
    <cellStyle name="Normal 71 2 3 2 2 2 2 2" xfId="17479"/>
    <cellStyle name="Normal 71 2 3 2 2 2 3" xfId="12966"/>
    <cellStyle name="Normal 71 2 3 2 2 3" xfId="6841"/>
    <cellStyle name="Normal 71 2 3 2 2 3 2" xfId="15882"/>
    <cellStyle name="Normal 71 2 3 2 2 4" xfId="11369"/>
    <cellStyle name="Normal 71 2 3 2 3" xfId="3923"/>
    <cellStyle name="Normal 71 2 3 2 3 2" xfId="8437"/>
    <cellStyle name="Normal 71 2 3 2 3 2 2" xfId="17478"/>
    <cellStyle name="Normal 71 2 3 2 3 3" xfId="12965"/>
    <cellStyle name="Normal 71 2 3 2 4" xfId="5713"/>
    <cellStyle name="Normal 71 2 3 2 4 2" xfId="14754"/>
    <cellStyle name="Normal 71 2 3 2 5" xfId="10241"/>
    <cellStyle name="Normal 71 2 3 3" xfId="1754"/>
    <cellStyle name="Normal 71 2 3 3 2" xfId="3925"/>
    <cellStyle name="Normal 71 2 3 3 2 2" xfId="8439"/>
    <cellStyle name="Normal 71 2 3 3 2 2 2" xfId="17480"/>
    <cellStyle name="Normal 71 2 3 3 2 3" xfId="12967"/>
    <cellStyle name="Normal 71 2 3 3 3" xfId="6277"/>
    <cellStyle name="Normal 71 2 3 3 3 2" xfId="15318"/>
    <cellStyle name="Normal 71 2 3 3 4" xfId="10805"/>
    <cellStyle name="Normal 71 2 3 4" xfId="3922"/>
    <cellStyle name="Normal 71 2 3 4 2" xfId="8436"/>
    <cellStyle name="Normal 71 2 3 4 2 2" xfId="17477"/>
    <cellStyle name="Normal 71 2 3 4 3" xfId="12964"/>
    <cellStyle name="Normal 71 2 3 5" xfId="5149"/>
    <cellStyle name="Normal 71 2 3 5 2" xfId="14190"/>
    <cellStyle name="Normal 71 2 3 6" xfId="9677"/>
    <cellStyle name="Normal 71 2 4" xfId="772"/>
    <cellStyle name="Normal 71 2 4 2" xfId="1942"/>
    <cellStyle name="Normal 71 2 4 2 2" xfId="3927"/>
    <cellStyle name="Normal 71 2 4 2 2 2" xfId="8441"/>
    <cellStyle name="Normal 71 2 4 2 2 2 2" xfId="17482"/>
    <cellStyle name="Normal 71 2 4 2 2 3" xfId="12969"/>
    <cellStyle name="Normal 71 2 4 2 3" xfId="6465"/>
    <cellStyle name="Normal 71 2 4 2 3 2" xfId="15506"/>
    <cellStyle name="Normal 71 2 4 2 4" xfId="10993"/>
    <cellStyle name="Normal 71 2 4 3" xfId="3926"/>
    <cellStyle name="Normal 71 2 4 3 2" xfId="8440"/>
    <cellStyle name="Normal 71 2 4 3 2 2" xfId="17481"/>
    <cellStyle name="Normal 71 2 4 3 3" xfId="12968"/>
    <cellStyle name="Normal 71 2 4 4" xfId="5337"/>
    <cellStyle name="Normal 71 2 4 4 2" xfId="14378"/>
    <cellStyle name="Normal 71 2 4 5" xfId="9865"/>
    <cellStyle name="Normal 71 2 5" xfId="1378"/>
    <cellStyle name="Normal 71 2 5 2" xfId="3928"/>
    <cellStyle name="Normal 71 2 5 2 2" xfId="8442"/>
    <cellStyle name="Normal 71 2 5 2 2 2" xfId="17483"/>
    <cellStyle name="Normal 71 2 5 2 3" xfId="12970"/>
    <cellStyle name="Normal 71 2 5 3" xfId="5901"/>
    <cellStyle name="Normal 71 2 5 3 2" xfId="14942"/>
    <cellStyle name="Normal 71 2 5 4" xfId="10429"/>
    <cellStyle name="Normal 71 2 6" xfId="3917"/>
    <cellStyle name="Normal 71 2 6 2" xfId="8431"/>
    <cellStyle name="Normal 71 2 6 2 2" xfId="17472"/>
    <cellStyle name="Normal 71 2 6 3" xfId="12959"/>
    <cellStyle name="Normal 71 2 7" xfId="4773"/>
    <cellStyle name="Normal 71 2 7 2" xfId="13814"/>
    <cellStyle name="Normal 71 2 8" xfId="9301"/>
    <cellStyle name="Normal 71 3" xfId="302"/>
    <cellStyle name="Normal 71 3 2" xfId="866"/>
    <cellStyle name="Normal 71 3 2 2" xfId="2036"/>
    <cellStyle name="Normal 71 3 2 2 2" xfId="3931"/>
    <cellStyle name="Normal 71 3 2 2 2 2" xfId="8445"/>
    <cellStyle name="Normal 71 3 2 2 2 2 2" xfId="17486"/>
    <cellStyle name="Normal 71 3 2 2 2 3" xfId="12973"/>
    <cellStyle name="Normal 71 3 2 2 3" xfId="6559"/>
    <cellStyle name="Normal 71 3 2 2 3 2" xfId="15600"/>
    <cellStyle name="Normal 71 3 2 2 4" xfId="11087"/>
    <cellStyle name="Normal 71 3 2 3" xfId="3930"/>
    <cellStyle name="Normal 71 3 2 3 2" xfId="8444"/>
    <cellStyle name="Normal 71 3 2 3 2 2" xfId="17485"/>
    <cellStyle name="Normal 71 3 2 3 3" xfId="12972"/>
    <cellStyle name="Normal 71 3 2 4" xfId="5431"/>
    <cellStyle name="Normal 71 3 2 4 2" xfId="14472"/>
    <cellStyle name="Normal 71 3 2 5" xfId="9959"/>
    <cellStyle name="Normal 71 3 3" xfId="1472"/>
    <cellStyle name="Normal 71 3 3 2" xfId="3932"/>
    <cellStyle name="Normal 71 3 3 2 2" xfId="8446"/>
    <cellStyle name="Normal 71 3 3 2 2 2" xfId="17487"/>
    <cellStyle name="Normal 71 3 3 2 3" xfId="12974"/>
    <cellStyle name="Normal 71 3 3 3" xfId="5995"/>
    <cellStyle name="Normal 71 3 3 3 2" xfId="15036"/>
    <cellStyle name="Normal 71 3 3 4" xfId="10523"/>
    <cellStyle name="Normal 71 3 4" xfId="3929"/>
    <cellStyle name="Normal 71 3 4 2" xfId="8443"/>
    <cellStyle name="Normal 71 3 4 2 2" xfId="17484"/>
    <cellStyle name="Normal 71 3 4 3" xfId="12971"/>
    <cellStyle name="Normal 71 3 5" xfId="4867"/>
    <cellStyle name="Normal 71 3 5 2" xfId="13908"/>
    <cellStyle name="Normal 71 3 6" xfId="9395"/>
    <cellStyle name="Normal 71 4" xfId="490"/>
    <cellStyle name="Normal 71 4 2" xfId="1054"/>
    <cellStyle name="Normal 71 4 2 2" xfId="2224"/>
    <cellStyle name="Normal 71 4 2 2 2" xfId="3935"/>
    <cellStyle name="Normal 71 4 2 2 2 2" xfId="8449"/>
    <cellStyle name="Normal 71 4 2 2 2 2 2" xfId="17490"/>
    <cellStyle name="Normal 71 4 2 2 2 3" xfId="12977"/>
    <cellStyle name="Normal 71 4 2 2 3" xfId="6747"/>
    <cellStyle name="Normal 71 4 2 2 3 2" xfId="15788"/>
    <cellStyle name="Normal 71 4 2 2 4" xfId="11275"/>
    <cellStyle name="Normal 71 4 2 3" xfId="3934"/>
    <cellStyle name="Normal 71 4 2 3 2" xfId="8448"/>
    <cellStyle name="Normal 71 4 2 3 2 2" xfId="17489"/>
    <cellStyle name="Normal 71 4 2 3 3" xfId="12976"/>
    <cellStyle name="Normal 71 4 2 4" xfId="5619"/>
    <cellStyle name="Normal 71 4 2 4 2" xfId="14660"/>
    <cellStyle name="Normal 71 4 2 5" xfId="10147"/>
    <cellStyle name="Normal 71 4 3" xfId="1660"/>
    <cellStyle name="Normal 71 4 3 2" xfId="3936"/>
    <cellStyle name="Normal 71 4 3 2 2" xfId="8450"/>
    <cellStyle name="Normal 71 4 3 2 2 2" xfId="17491"/>
    <cellStyle name="Normal 71 4 3 2 3" xfId="12978"/>
    <cellStyle name="Normal 71 4 3 3" xfId="6183"/>
    <cellStyle name="Normal 71 4 3 3 2" xfId="15224"/>
    <cellStyle name="Normal 71 4 3 4" xfId="10711"/>
    <cellStyle name="Normal 71 4 4" xfId="3933"/>
    <cellStyle name="Normal 71 4 4 2" xfId="8447"/>
    <cellStyle name="Normal 71 4 4 2 2" xfId="17488"/>
    <cellStyle name="Normal 71 4 4 3" xfId="12975"/>
    <cellStyle name="Normal 71 4 5" xfId="5055"/>
    <cellStyle name="Normal 71 4 5 2" xfId="14096"/>
    <cellStyle name="Normal 71 4 6" xfId="9583"/>
    <cellStyle name="Normal 71 5" xfId="678"/>
    <cellStyle name="Normal 71 5 2" xfId="1848"/>
    <cellStyle name="Normal 71 5 2 2" xfId="3938"/>
    <cellStyle name="Normal 71 5 2 2 2" xfId="8452"/>
    <cellStyle name="Normal 71 5 2 2 2 2" xfId="17493"/>
    <cellStyle name="Normal 71 5 2 2 3" xfId="12980"/>
    <cellStyle name="Normal 71 5 2 3" xfId="6371"/>
    <cellStyle name="Normal 71 5 2 3 2" xfId="15412"/>
    <cellStyle name="Normal 71 5 2 4" xfId="10899"/>
    <cellStyle name="Normal 71 5 3" xfId="3937"/>
    <cellStyle name="Normal 71 5 3 2" xfId="8451"/>
    <cellStyle name="Normal 71 5 3 2 2" xfId="17492"/>
    <cellStyle name="Normal 71 5 3 3" xfId="12979"/>
    <cellStyle name="Normal 71 5 4" xfId="5243"/>
    <cellStyle name="Normal 71 5 4 2" xfId="14284"/>
    <cellStyle name="Normal 71 5 5" xfId="9771"/>
    <cellStyle name="Normal 71 6" xfId="1284"/>
    <cellStyle name="Normal 71 6 2" xfId="3939"/>
    <cellStyle name="Normal 71 6 2 2" xfId="8453"/>
    <cellStyle name="Normal 71 6 2 2 2" xfId="17494"/>
    <cellStyle name="Normal 71 6 2 3" xfId="12981"/>
    <cellStyle name="Normal 71 6 3" xfId="5807"/>
    <cellStyle name="Normal 71 6 3 2" xfId="14848"/>
    <cellStyle name="Normal 71 6 4" xfId="10335"/>
    <cellStyle name="Normal 71 7" xfId="3916"/>
    <cellStyle name="Normal 71 7 2" xfId="8430"/>
    <cellStyle name="Normal 71 7 2 2" xfId="17471"/>
    <cellStyle name="Normal 71 7 3" xfId="12958"/>
    <cellStyle name="Normal 71 8" xfId="4679"/>
    <cellStyle name="Normal 71 8 2" xfId="13720"/>
    <cellStyle name="Normal 71 9" xfId="9207"/>
    <cellStyle name="Normal 72" xfId="72"/>
    <cellStyle name="Normal 72 2" xfId="168"/>
    <cellStyle name="Normal 72 2 2" xfId="397"/>
    <cellStyle name="Normal 72 2 2 2" xfId="961"/>
    <cellStyle name="Normal 72 2 2 2 2" xfId="2131"/>
    <cellStyle name="Normal 72 2 2 2 2 2" xfId="3944"/>
    <cellStyle name="Normal 72 2 2 2 2 2 2" xfId="8458"/>
    <cellStyle name="Normal 72 2 2 2 2 2 2 2" xfId="17499"/>
    <cellStyle name="Normal 72 2 2 2 2 2 3" xfId="12986"/>
    <cellStyle name="Normal 72 2 2 2 2 3" xfId="6654"/>
    <cellStyle name="Normal 72 2 2 2 2 3 2" xfId="15695"/>
    <cellStyle name="Normal 72 2 2 2 2 4" xfId="11182"/>
    <cellStyle name="Normal 72 2 2 2 3" xfId="3943"/>
    <cellStyle name="Normal 72 2 2 2 3 2" xfId="8457"/>
    <cellStyle name="Normal 72 2 2 2 3 2 2" xfId="17498"/>
    <cellStyle name="Normal 72 2 2 2 3 3" xfId="12985"/>
    <cellStyle name="Normal 72 2 2 2 4" xfId="5526"/>
    <cellStyle name="Normal 72 2 2 2 4 2" xfId="14567"/>
    <cellStyle name="Normal 72 2 2 2 5" xfId="10054"/>
    <cellStyle name="Normal 72 2 2 3" xfId="1567"/>
    <cellStyle name="Normal 72 2 2 3 2" xfId="3945"/>
    <cellStyle name="Normal 72 2 2 3 2 2" xfId="8459"/>
    <cellStyle name="Normal 72 2 2 3 2 2 2" xfId="17500"/>
    <cellStyle name="Normal 72 2 2 3 2 3" xfId="12987"/>
    <cellStyle name="Normal 72 2 2 3 3" xfId="6090"/>
    <cellStyle name="Normal 72 2 2 3 3 2" xfId="15131"/>
    <cellStyle name="Normal 72 2 2 3 4" xfId="10618"/>
    <cellStyle name="Normal 72 2 2 4" xfId="3942"/>
    <cellStyle name="Normal 72 2 2 4 2" xfId="8456"/>
    <cellStyle name="Normal 72 2 2 4 2 2" xfId="17497"/>
    <cellStyle name="Normal 72 2 2 4 3" xfId="12984"/>
    <cellStyle name="Normal 72 2 2 5" xfId="4962"/>
    <cellStyle name="Normal 72 2 2 5 2" xfId="14003"/>
    <cellStyle name="Normal 72 2 2 6" xfId="9490"/>
    <cellStyle name="Normal 72 2 3" xfId="585"/>
    <cellStyle name="Normal 72 2 3 2" xfId="1149"/>
    <cellStyle name="Normal 72 2 3 2 2" xfId="2319"/>
    <cellStyle name="Normal 72 2 3 2 2 2" xfId="3948"/>
    <cellStyle name="Normal 72 2 3 2 2 2 2" xfId="8462"/>
    <cellStyle name="Normal 72 2 3 2 2 2 2 2" xfId="17503"/>
    <cellStyle name="Normal 72 2 3 2 2 2 3" xfId="12990"/>
    <cellStyle name="Normal 72 2 3 2 2 3" xfId="6842"/>
    <cellStyle name="Normal 72 2 3 2 2 3 2" xfId="15883"/>
    <cellStyle name="Normal 72 2 3 2 2 4" xfId="11370"/>
    <cellStyle name="Normal 72 2 3 2 3" xfId="3947"/>
    <cellStyle name="Normal 72 2 3 2 3 2" xfId="8461"/>
    <cellStyle name="Normal 72 2 3 2 3 2 2" xfId="17502"/>
    <cellStyle name="Normal 72 2 3 2 3 3" xfId="12989"/>
    <cellStyle name="Normal 72 2 3 2 4" xfId="5714"/>
    <cellStyle name="Normal 72 2 3 2 4 2" xfId="14755"/>
    <cellStyle name="Normal 72 2 3 2 5" xfId="10242"/>
    <cellStyle name="Normal 72 2 3 3" xfId="1755"/>
    <cellStyle name="Normal 72 2 3 3 2" xfId="3949"/>
    <cellStyle name="Normal 72 2 3 3 2 2" xfId="8463"/>
    <cellStyle name="Normal 72 2 3 3 2 2 2" xfId="17504"/>
    <cellStyle name="Normal 72 2 3 3 2 3" xfId="12991"/>
    <cellStyle name="Normal 72 2 3 3 3" xfId="6278"/>
    <cellStyle name="Normal 72 2 3 3 3 2" xfId="15319"/>
    <cellStyle name="Normal 72 2 3 3 4" xfId="10806"/>
    <cellStyle name="Normal 72 2 3 4" xfId="3946"/>
    <cellStyle name="Normal 72 2 3 4 2" xfId="8460"/>
    <cellStyle name="Normal 72 2 3 4 2 2" xfId="17501"/>
    <cellStyle name="Normal 72 2 3 4 3" xfId="12988"/>
    <cellStyle name="Normal 72 2 3 5" xfId="5150"/>
    <cellStyle name="Normal 72 2 3 5 2" xfId="14191"/>
    <cellStyle name="Normal 72 2 3 6" xfId="9678"/>
    <cellStyle name="Normal 72 2 4" xfId="773"/>
    <cellStyle name="Normal 72 2 4 2" xfId="1943"/>
    <cellStyle name="Normal 72 2 4 2 2" xfId="3951"/>
    <cellStyle name="Normal 72 2 4 2 2 2" xfId="8465"/>
    <cellStyle name="Normal 72 2 4 2 2 2 2" xfId="17506"/>
    <cellStyle name="Normal 72 2 4 2 2 3" xfId="12993"/>
    <cellStyle name="Normal 72 2 4 2 3" xfId="6466"/>
    <cellStyle name="Normal 72 2 4 2 3 2" xfId="15507"/>
    <cellStyle name="Normal 72 2 4 2 4" xfId="10994"/>
    <cellStyle name="Normal 72 2 4 3" xfId="3950"/>
    <cellStyle name="Normal 72 2 4 3 2" xfId="8464"/>
    <cellStyle name="Normal 72 2 4 3 2 2" xfId="17505"/>
    <cellStyle name="Normal 72 2 4 3 3" xfId="12992"/>
    <cellStyle name="Normal 72 2 4 4" xfId="5338"/>
    <cellStyle name="Normal 72 2 4 4 2" xfId="14379"/>
    <cellStyle name="Normal 72 2 4 5" xfId="9866"/>
    <cellStyle name="Normal 72 2 5" xfId="1379"/>
    <cellStyle name="Normal 72 2 5 2" xfId="3952"/>
    <cellStyle name="Normal 72 2 5 2 2" xfId="8466"/>
    <cellStyle name="Normal 72 2 5 2 2 2" xfId="17507"/>
    <cellStyle name="Normal 72 2 5 2 3" xfId="12994"/>
    <cellStyle name="Normal 72 2 5 3" xfId="5902"/>
    <cellStyle name="Normal 72 2 5 3 2" xfId="14943"/>
    <cellStyle name="Normal 72 2 5 4" xfId="10430"/>
    <cellStyle name="Normal 72 2 6" xfId="3941"/>
    <cellStyle name="Normal 72 2 6 2" xfId="8455"/>
    <cellStyle name="Normal 72 2 6 2 2" xfId="17496"/>
    <cellStyle name="Normal 72 2 6 3" xfId="12983"/>
    <cellStyle name="Normal 72 2 7" xfId="4774"/>
    <cellStyle name="Normal 72 2 7 2" xfId="13815"/>
    <cellStyle name="Normal 72 2 8" xfId="9302"/>
    <cellStyle name="Normal 72 3" xfId="303"/>
    <cellStyle name="Normal 72 3 2" xfId="867"/>
    <cellStyle name="Normal 72 3 2 2" xfId="2037"/>
    <cellStyle name="Normal 72 3 2 2 2" xfId="3955"/>
    <cellStyle name="Normal 72 3 2 2 2 2" xfId="8469"/>
    <cellStyle name="Normal 72 3 2 2 2 2 2" xfId="17510"/>
    <cellStyle name="Normal 72 3 2 2 2 3" xfId="12997"/>
    <cellStyle name="Normal 72 3 2 2 3" xfId="6560"/>
    <cellStyle name="Normal 72 3 2 2 3 2" xfId="15601"/>
    <cellStyle name="Normal 72 3 2 2 4" xfId="11088"/>
    <cellStyle name="Normal 72 3 2 3" xfId="3954"/>
    <cellStyle name="Normal 72 3 2 3 2" xfId="8468"/>
    <cellStyle name="Normal 72 3 2 3 2 2" xfId="17509"/>
    <cellStyle name="Normal 72 3 2 3 3" xfId="12996"/>
    <cellStyle name="Normal 72 3 2 4" xfId="5432"/>
    <cellStyle name="Normal 72 3 2 4 2" xfId="14473"/>
    <cellStyle name="Normal 72 3 2 5" xfId="9960"/>
    <cellStyle name="Normal 72 3 3" xfId="1473"/>
    <cellStyle name="Normal 72 3 3 2" xfId="3956"/>
    <cellStyle name="Normal 72 3 3 2 2" xfId="8470"/>
    <cellStyle name="Normal 72 3 3 2 2 2" xfId="17511"/>
    <cellStyle name="Normal 72 3 3 2 3" xfId="12998"/>
    <cellStyle name="Normal 72 3 3 3" xfId="5996"/>
    <cellStyle name="Normal 72 3 3 3 2" xfId="15037"/>
    <cellStyle name="Normal 72 3 3 4" xfId="10524"/>
    <cellStyle name="Normal 72 3 4" xfId="3953"/>
    <cellStyle name="Normal 72 3 4 2" xfId="8467"/>
    <cellStyle name="Normal 72 3 4 2 2" xfId="17508"/>
    <cellStyle name="Normal 72 3 4 3" xfId="12995"/>
    <cellStyle name="Normal 72 3 5" xfId="4868"/>
    <cellStyle name="Normal 72 3 5 2" xfId="13909"/>
    <cellStyle name="Normal 72 3 6" xfId="9396"/>
    <cellStyle name="Normal 72 4" xfId="491"/>
    <cellStyle name="Normal 72 4 2" xfId="1055"/>
    <cellStyle name="Normal 72 4 2 2" xfId="2225"/>
    <cellStyle name="Normal 72 4 2 2 2" xfId="3959"/>
    <cellStyle name="Normal 72 4 2 2 2 2" xfId="8473"/>
    <cellStyle name="Normal 72 4 2 2 2 2 2" xfId="17514"/>
    <cellStyle name="Normal 72 4 2 2 2 3" xfId="13001"/>
    <cellStyle name="Normal 72 4 2 2 3" xfId="6748"/>
    <cellStyle name="Normal 72 4 2 2 3 2" xfId="15789"/>
    <cellStyle name="Normal 72 4 2 2 4" xfId="11276"/>
    <cellStyle name="Normal 72 4 2 3" xfId="3958"/>
    <cellStyle name="Normal 72 4 2 3 2" xfId="8472"/>
    <cellStyle name="Normal 72 4 2 3 2 2" xfId="17513"/>
    <cellStyle name="Normal 72 4 2 3 3" xfId="13000"/>
    <cellStyle name="Normal 72 4 2 4" xfId="5620"/>
    <cellStyle name="Normal 72 4 2 4 2" xfId="14661"/>
    <cellStyle name="Normal 72 4 2 5" xfId="10148"/>
    <cellStyle name="Normal 72 4 3" xfId="1661"/>
    <cellStyle name="Normal 72 4 3 2" xfId="3960"/>
    <cellStyle name="Normal 72 4 3 2 2" xfId="8474"/>
    <cellStyle name="Normal 72 4 3 2 2 2" xfId="17515"/>
    <cellStyle name="Normal 72 4 3 2 3" xfId="13002"/>
    <cellStyle name="Normal 72 4 3 3" xfId="6184"/>
    <cellStyle name="Normal 72 4 3 3 2" xfId="15225"/>
    <cellStyle name="Normal 72 4 3 4" xfId="10712"/>
    <cellStyle name="Normal 72 4 4" xfId="3957"/>
    <cellStyle name="Normal 72 4 4 2" xfId="8471"/>
    <cellStyle name="Normal 72 4 4 2 2" xfId="17512"/>
    <cellStyle name="Normal 72 4 4 3" xfId="12999"/>
    <cellStyle name="Normal 72 4 5" xfId="5056"/>
    <cellStyle name="Normal 72 4 5 2" xfId="14097"/>
    <cellStyle name="Normal 72 4 6" xfId="9584"/>
    <cellStyle name="Normal 72 5" xfId="679"/>
    <cellStyle name="Normal 72 5 2" xfId="1849"/>
    <cellStyle name="Normal 72 5 2 2" xfId="3962"/>
    <cellStyle name="Normal 72 5 2 2 2" xfId="8476"/>
    <cellStyle name="Normal 72 5 2 2 2 2" xfId="17517"/>
    <cellStyle name="Normal 72 5 2 2 3" xfId="13004"/>
    <cellStyle name="Normal 72 5 2 3" xfId="6372"/>
    <cellStyle name="Normal 72 5 2 3 2" xfId="15413"/>
    <cellStyle name="Normal 72 5 2 4" xfId="10900"/>
    <cellStyle name="Normal 72 5 3" xfId="3961"/>
    <cellStyle name="Normal 72 5 3 2" xfId="8475"/>
    <cellStyle name="Normal 72 5 3 2 2" xfId="17516"/>
    <cellStyle name="Normal 72 5 3 3" xfId="13003"/>
    <cellStyle name="Normal 72 5 4" xfId="5244"/>
    <cellStyle name="Normal 72 5 4 2" xfId="14285"/>
    <cellStyle name="Normal 72 5 5" xfId="9772"/>
    <cellStyle name="Normal 72 6" xfId="1285"/>
    <cellStyle name="Normal 72 6 2" xfId="3963"/>
    <cellStyle name="Normal 72 6 2 2" xfId="8477"/>
    <cellStyle name="Normal 72 6 2 2 2" xfId="17518"/>
    <cellStyle name="Normal 72 6 2 3" xfId="13005"/>
    <cellStyle name="Normal 72 6 3" xfId="5808"/>
    <cellStyle name="Normal 72 6 3 2" xfId="14849"/>
    <cellStyle name="Normal 72 6 4" xfId="10336"/>
    <cellStyle name="Normal 72 7" xfId="3940"/>
    <cellStyle name="Normal 72 7 2" xfId="8454"/>
    <cellStyle name="Normal 72 7 2 2" xfId="17495"/>
    <cellStyle name="Normal 72 7 3" xfId="12982"/>
    <cellStyle name="Normal 72 8" xfId="4680"/>
    <cellStyle name="Normal 72 8 2" xfId="13721"/>
    <cellStyle name="Normal 72 9" xfId="9208"/>
    <cellStyle name="Normal 73" xfId="73"/>
    <cellStyle name="Normal 73 2" xfId="169"/>
    <cellStyle name="Normal 73 2 2" xfId="398"/>
    <cellStyle name="Normal 73 2 2 2" xfId="962"/>
    <cellStyle name="Normal 73 2 2 2 2" xfId="2132"/>
    <cellStyle name="Normal 73 2 2 2 2 2" xfId="3968"/>
    <cellStyle name="Normal 73 2 2 2 2 2 2" xfId="8482"/>
    <cellStyle name="Normal 73 2 2 2 2 2 2 2" xfId="17523"/>
    <cellStyle name="Normal 73 2 2 2 2 2 3" xfId="13010"/>
    <cellStyle name="Normal 73 2 2 2 2 3" xfId="6655"/>
    <cellStyle name="Normal 73 2 2 2 2 3 2" xfId="15696"/>
    <cellStyle name="Normal 73 2 2 2 2 4" xfId="11183"/>
    <cellStyle name="Normal 73 2 2 2 3" xfId="3967"/>
    <cellStyle name="Normal 73 2 2 2 3 2" xfId="8481"/>
    <cellStyle name="Normal 73 2 2 2 3 2 2" xfId="17522"/>
    <cellStyle name="Normal 73 2 2 2 3 3" xfId="13009"/>
    <cellStyle name="Normal 73 2 2 2 4" xfId="5527"/>
    <cellStyle name="Normal 73 2 2 2 4 2" xfId="14568"/>
    <cellStyle name="Normal 73 2 2 2 5" xfId="10055"/>
    <cellStyle name="Normal 73 2 2 3" xfId="1568"/>
    <cellStyle name="Normal 73 2 2 3 2" xfId="3969"/>
    <cellStyle name="Normal 73 2 2 3 2 2" xfId="8483"/>
    <cellStyle name="Normal 73 2 2 3 2 2 2" xfId="17524"/>
    <cellStyle name="Normal 73 2 2 3 2 3" xfId="13011"/>
    <cellStyle name="Normal 73 2 2 3 3" xfId="6091"/>
    <cellStyle name="Normal 73 2 2 3 3 2" xfId="15132"/>
    <cellStyle name="Normal 73 2 2 3 4" xfId="10619"/>
    <cellStyle name="Normal 73 2 2 4" xfId="3966"/>
    <cellStyle name="Normal 73 2 2 4 2" xfId="8480"/>
    <cellStyle name="Normal 73 2 2 4 2 2" xfId="17521"/>
    <cellStyle name="Normal 73 2 2 4 3" xfId="13008"/>
    <cellStyle name="Normal 73 2 2 5" xfId="4963"/>
    <cellStyle name="Normal 73 2 2 5 2" xfId="14004"/>
    <cellStyle name="Normal 73 2 2 6" xfId="9491"/>
    <cellStyle name="Normal 73 2 3" xfId="586"/>
    <cellStyle name="Normal 73 2 3 2" xfId="1150"/>
    <cellStyle name="Normal 73 2 3 2 2" xfId="2320"/>
    <cellStyle name="Normal 73 2 3 2 2 2" xfId="3972"/>
    <cellStyle name="Normal 73 2 3 2 2 2 2" xfId="8486"/>
    <cellStyle name="Normal 73 2 3 2 2 2 2 2" xfId="17527"/>
    <cellStyle name="Normal 73 2 3 2 2 2 3" xfId="13014"/>
    <cellStyle name="Normal 73 2 3 2 2 3" xfId="6843"/>
    <cellStyle name="Normal 73 2 3 2 2 3 2" xfId="15884"/>
    <cellStyle name="Normal 73 2 3 2 2 4" xfId="11371"/>
    <cellStyle name="Normal 73 2 3 2 3" xfId="3971"/>
    <cellStyle name="Normal 73 2 3 2 3 2" xfId="8485"/>
    <cellStyle name="Normal 73 2 3 2 3 2 2" xfId="17526"/>
    <cellStyle name="Normal 73 2 3 2 3 3" xfId="13013"/>
    <cellStyle name="Normal 73 2 3 2 4" xfId="5715"/>
    <cellStyle name="Normal 73 2 3 2 4 2" xfId="14756"/>
    <cellStyle name="Normal 73 2 3 2 5" xfId="10243"/>
    <cellStyle name="Normal 73 2 3 3" xfId="1756"/>
    <cellStyle name="Normal 73 2 3 3 2" xfId="3973"/>
    <cellStyle name="Normal 73 2 3 3 2 2" xfId="8487"/>
    <cellStyle name="Normal 73 2 3 3 2 2 2" xfId="17528"/>
    <cellStyle name="Normal 73 2 3 3 2 3" xfId="13015"/>
    <cellStyle name="Normal 73 2 3 3 3" xfId="6279"/>
    <cellStyle name="Normal 73 2 3 3 3 2" xfId="15320"/>
    <cellStyle name="Normal 73 2 3 3 4" xfId="10807"/>
    <cellStyle name="Normal 73 2 3 4" xfId="3970"/>
    <cellStyle name="Normal 73 2 3 4 2" xfId="8484"/>
    <cellStyle name="Normal 73 2 3 4 2 2" xfId="17525"/>
    <cellStyle name="Normal 73 2 3 4 3" xfId="13012"/>
    <cellStyle name="Normal 73 2 3 5" xfId="5151"/>
    <cellStyle name="Normal 73 2 3 5 2" xfId="14192"/>
    <cellStyle name="Normal 73 2 3 6" xfId="9679"/>
    <cellStyle name="Normal 73 2 4" xfId="774"/>
    <cellStyle name="Normal 73 2 4 2" xfId="1944"/>
    <cellStyle name="Normal 73 2 4 2 2" xfId="3975"/>
    <cellStyle name="Normal 73 2 4 2 2 2" xfId="8489"/>
    <cellStyle name="Normal 73 2 4 2 2 2 2" xfId="17530"/>
    <cellStyle name="Normal 73 2 4 2 2 3" xfId="13017"/>
    <cellStyle name="Normal 73 2 4 2 3" xfId="6467"/>
    <cellStyle name="Normal 73 2 4 2 3 2" xfId="15508"/>
    <cellStyle name="Normal 73 2 4 2 4" xfId="10995"/>
    <cellStyle name="Normal 73 2 4 3" xfId="3974"/>
    <cellStyle name="Normal 73 2 4 3 2" xfId="8488"/>
    <cellStyle name="Normal 73 2 4 3 2 2" xfId="17529"/>
    <cellStyle name="Normal 73 2 4 3 3" xfId="13016"/>
    <cellStyle name="Normal 73 2 4 4" xfId="5339"/>
    <cellStyle name="Normal 73 2 4 4 2" xfId="14380"/>
    <cellStyle name="Normal 73 2 4 5" xfId="9867"/>
    <cellStyle name="Normal 73 2 5" xfId="1380"/>
    <cellStyle name="Normal 73 2 5 2" xfId="3976"/>
    <cellStyle name="Normal 73 2 5 2 2" xfId="8490"/>
    <cellStyle name="Normal 73 2 5 2 2 2" xfId="17531"/>
    <cellStyle name="Normal 73 2 5 2 3" xfId="13018"/>
    <cellStyle name="Normal 73 2 5 3" xfId="5903"/>
    <cellStyle name="Normal 73 2 5 3 2" xfId="14944"/>
    <cellStyle name="Normal 73 2 5 4" xfId="10431"/>
    <cellStyle name="Normal 73 2 6" xfId="3965"/>
    <cellStyle name="Normal 73 2 6 2" xfId="8479"/>
    <cellStyle name="Normal 73 2 6 2 2" xfId="17520"/>
    <cellStyle name="Normal 73 2 6 3" xfId="13007"/>
    <cellStyle name="Normal 73 2 7" xfId="4775"/>
    <cellStyle name="Normal 73 2 7 2" xfId="13816"/>
    <cellStyle name="Normal 73 2 8" xfId="9303"/>
    <cellStyle name="Normal 73 3" xfId="304"/>
    <cellStyle name="Normal 73 3 2" xfId="868"/>
    <cellStyle name="Normal 73 3 2 2" xfId="2038"/>
    <cellStyle name="Normal 73 3 2 2 2" xfId="3979"/>
    <cellStyle name="Normal 73 3 2 2 2 2" xfId="8493"/>
    <cellStyle name="Normal 73 3 2 2 2 2 2" xfId="17534"/>
    <cellStyle name="Normal 73 3 2 2 2 3" xfId="13021"/>
    <cellStyle name="Normal 73 3 2 2 3" xfId="6561"/>
    <cellStyle name="Normal 73 3 2 2 3 2" xfId="15602"/>
    <cellStyle name="Normal 73 3 2 2 4" xfId="11089"/>
    <cellStyle name="Normal 73 3 2 3" xfId="3978"/>
    <cellStyle name="Normal 73 3 2 3 2" xfId="8492"/>
    <cellStyle name="Normal 73 3 2 3 2 2" xfId="17533"/>
    <cellStyle name="Normal 73 3 2 3 3" xfId="13020"/>
    <cellStyle name="Normal 73 3 2 4" xfId="5433"/>
    <cellStyle name="Normal 73 3 2 4 2" xfId="14474"/>
    <cellStyle name="Normal 73 3 2 5" xfId="9961"/>
    <cellStyle name="Normal 73 3 3" xfId="1474"/>
    <cellStyle name="Normal 73 3 3 2" xfId="3980"/>
    <cellStyle name="Normal 73 3 3 2 2" xfId="8494"/>
    <cellStyle name="Normal 73 3 3 2 2 2" xfId="17535"/>
    <cellStyle name="Normal 73 3 3 2 3" xfId="13022"/>
    <cellStyle name="Normal 73 3 3 3" xfId="5997"/>
    <cellStyle name="Normal 73 3 3 3 2" xfId="15038"/>
    <cellStyle name="Normal 73 3 3 4" xfId="10525"/>
    <cellStyle name="Normal 73 3 4" xfId="3977"/>
    <cellStyle name="Normal 73 3 4 2" xfId="8491"/>
    <cellStyle name="Normal 73 3 4 2 2" xfId="17532"/>
    <cellStyle name="Normal 73 3 4 3" xfId="13019"/>
    <cellStyle name="Normal 73 3 5" xfId="4869"/>
    <cellStyle name="Normal 73 3 5 2" xfId="13910"/>
    <cellStyle name="Normal 73 3 6" xfId="9397"/>
    <cellStyle name="Normal 73 4" xfId="492"/>
    <cellStyle name="Normal 73 4 2" xfId="1056"/>
    <cellStyle name="Normal 73 4 2 2" xfId="2226"/>
    <cellStyle name="Normal 73 4 2 2 2" xfId="3983"/>
    <cellStyle name="Normal 73 4 2 2 2 2" xfId="8497"/>
    <cellStyle name="Normal 73 4 2 2 2 2 2" xfId="17538"/>
    <cellStyle name="Normal 73 4 2 2 2 3" xfId="13025"/>
    <cellStyle name="Normal 73 4 2 2 3" xfId="6749"/>
    <cellStyle name="Normal 73 4 2 2 3 2" xfId="15790"/>
    <cellStyle name="Normal 73 4 2 2 4" xfId="11277"/>
    <cellStyle name="Normal 73 4 2 3" xfId="3982"/>
    <cellStyle name="Normal 73 4 2 3 2" xfId="8496"/>
    <cellStyle name="Normal 73 4 2 3 2 2" xfId="17537"/>
    <cellStyle name="Normal 73 4 2 3 3" xfId="13024"/>
    <cellStyle name="Normal 73 4 2 4" xfId="5621"/>
    <cellStyle name="Normal 73 4 2 4 2" xfId="14662"/>
    <cellStyle name="Normal 73 4 2 5" xfId="10149"/>
    <cellStyle name="Normal 73 4 3" xfId="1662"/>
    <cellStyle name="Normal 73 4 3 2" xfId="3984"/>
    <cellStyle name="Normal 73 4 3 2 2" xfId="8498"/>
    <cellStyle name="Normal 73 4 3 2 2 2" xfId="17539"/>
    <cellStyle name="Normal 73 4 3 2 3" xfId="13026"/>
    <cellStyle name="Normal 73 4 3 3" xfId="6185"/>
    <cellStyle name="Normal 73 4 3 3 2" xfId="15226"/>
    <cellStyle name="Normal 73 4 3 4" xfId="10713"/>
    <cellStyle name="Normal 73 4 4" xfId="3981"/>
    <cellStyle name="Normal 73 4 4 2" xfId="8495"/>
    <cellStyle name="Normal 73 4 4 2 2" xfId="17536"/>
    <cellStyle name="Normal 73 4 4 3" xfId="13023"/>
    <cellStyle name="Normal 73 4 5" xfId="5057"/>
    <cellStyle name="Normal 73 4 5 2" xfId="14098"/>
    <cellStyle name="Normal 73 4 6" xfId="9585"/>
    <cellStyle name="Normal 73 5" xfId="680"/>
    <cellStyle name="Normal 73 5 2" xfId="1850"/>
    <cellStyle name="Normal 73 5 2 2" xfId="3986"/>
    <cellStyle name="Normal 73 5 2 2 2" xfId="8500"/>
    <cellStyle name="Normal 73 5 2 2 2 2" xfId="17541"/>
    <cellStyle name="Normal 73 5 2 2 3" xfId="13028"/>
    <cellStyle name="Normal 73 5 2 3" xfId="6373"/>
    <cellStyle name="Normal 73 5 2 3 2" xfId="15414"/>
    <cellStyle name="Normal 73 5 2 4" xfId="10901"/>
    <cellStyle name="Normal 73 5 3" xfId="3985"/>
    <cellStyle name="Normal 73 5 3 2" xfId="8499"/>
    <cellStyle name="Normal 73 5 3 2 2" xfId="17540"/>
    <cellStyle name="Normal 73 5 3 3" xfId="13027"/>
    <cellStyle name="Normal 73 5 4" xfId="5245"/>
    <cellStyle name="Normal 73 5 4 2" xfId="14286"/>
    <cellStyle name="Normal 73 5 5" xfId="9773"/>
    <cellStyle name="Normal 73 6" xfId="1286"/>
    <cellStyle name="Normal 73 6 2" xfId="3987"/>
    <cellStyle name="Normal 73 6 2 2" xfId="8501"/>
    <cellStyle name="Normal 73 6 2 2 2" xfId="17542"/>
    <cellStyle name="Normal 73 6 2 3" xfId="13029"/>
    <cellStyle name="Normal 73 6 3" xfId="5809"/>
    <cellStyle name="Normal 73 6 3 2" xfId="14850"/>
    <cellStyle name="Normal 73 6 4" xfId="10337"/>
    <cellStyle name="Normal 73 7" xfId="3964"/>
    <cellStyle name="Normal 73 7 2" xfId="8478"/>
    <cellStyle name="Normal 73 7 2 2" xfId="17519"/>
    <cellStyle name="Normal 73 7 3" xfId="13006"/>
    <cellStyle name="Normal 73 8" xfId="4681"/>
    <cellStyle name="Normal 73 8 2" xfId="13722"/>
    <cellStyle name="Normal 73 9" xfId="9209"/>
    <cellStyle name="Normal 74" xfId="74"/>
    <cellStyle name="Normal 74 2" xfId="170"/>
    <cellStyle name="Normal 74 2 2" xfId="399"/>
    <cellStyle name="Normal 74 2 2 2" xfId="963"/>
    <cellStyle name="Normal 74 2 2 2 2" xfId="2133"/>
    <cellStyle name="Normal 74 2 2 2 2 2" xfId="3992"/>
    <cellStyle name="Normal 74 2 2 2 2 2 2" xfId="8506"/>
    <cellStyle name="Normal 74 2 2 2 2 2 2 2" xfId="17547"/>
    <cellStyle name="Normal 74 2 2 2 2 2 3" xfId="13034"/>
    <cellStyle name="Normal 74 2 2 2 2 3" xfId="6656"/>
    <cellStyle name="Normal 74 2 2 2 2 3 2" xfId="15697"/>
    <cellStyle name="Normal 74 2 2 2 2 4" xfId="11184"/>
    <cellStyle name="Normal 74 2 2 2 3" xfId="3991"/>
    <cellStyle name="Normal 74 2 2 2 3 2" xfId="8505"/>
    <cellStyle name="Normal 74 2 2 2 3 2 2" xfId="17546"/>
    <cellStyle name="Normal 74 2 2 2 3 3" xfId="13033"/>
    <cellStyle name="Normal 74 2 2 2 4" xfId="5528"/>
    <cellStyle name="Normal 74 2 2 2 4 2" xfId="14569"/>
    <cellStyle name="Normal 74 2 2 2 5" xfId="10056"/>
    <cellStyle name="Normal 74 2 2 3" xfId="1569"/>
    <cellStyle name="Normal 74 2 2 3 2" xfId="3993"/>
    <cellStyle name="Normal 74 2 2 3 2 2" xfId="8507"/>
    <cellStyle name="Normal 74 2 2 3 2 2 2" xfId="17548"/>
    <cellStyle name="Normal 74 2 2 3 2 3" xfId="13035"/>
    <cellStyle name="Normal 74 2 2 3 3" xfId="6092"/>
    <cellStyle name="Normal 74 2 2 3 3 2" xfId="15133"/>
    <cellStyle name="Normal 74 2 2 3 4" xfId="10620"/>
    <cellStyle name="Normal 74 2 2 4" xfId="3990"/>
    <cellStyle name="Normal 74 2 2 4 2" xfId="8504"/>
    <cellStyle name="Normal 74 2 2 4 2 2" xfId="17545"/>
    <cellStyle name="Normal 74 2 2 4 3" xfId="13032"/>
    <cellStyle name="Normal 74 2 2 5" xfId="4964"/>
    <cellStyle name="Normal 74 2 2 5 2" xfId="14005"/>
    <cellStyle name="Normal 74 2 2 6" xfId="9492"/>
    <cellStyle name="Normal 74 2 3" xfId="587"/>
    <cellStyle name="Normal 74 2 3 2" xfId="1151"/>
    <cellStyle name="Normal 74 2 3 2 2" xfId="2321"/>
    <cellStyle name="Normal 74 2 3 2 2 2" xfId="3996"/>
    <cellStyle name="Normal 74 2 3 2 2 2 2" xfId="8510"/>
    <cellStyle name="Normal 74 2 3 2 2 2 2 2" xfId="17551"/>
    <cellStyle name="Normal 74 2 3 2 2 2 3" xfId="13038"/>
    <cellStyle name="Normal 74 2 3 2 2 3" xfId="6844"/>
    <cellStyle name="Normal 74 2 3 2 2 3 2" xfId="15885"/>
    <cellStyle name="Normal 74 2 3 2 2 4" xfId="11372"/>
    <cellStyle name="Normal 74 2 3 2 3" xfId="3995"/>
    <cellStyle name="Normal 74 2 3 2 3 2" xfId="8509"/>
    <cellStyle name="Normal 74 2 3 2 3 2 2" xfId="17550"/>
    <cellStyle name="Normal 74 2 3 2 3 3" xfId="13037"/>
    <cellStyle name="Normal 74 2 3 2 4" xfId="5716"/>
    <cellStyle name="Normal 74 2 3 2 4 2" xfId="14757"/>
    <cellStyle name="Normal 74 2 3 2 5" xfId="10244"/>
    <cellStyle name="Normal 74 2 3 3" xfId="1757"/>
    <cellStyle name="Normal 74 2 3 3 2" xfId="3997"/>
    <cellStyle name="Normal 74 2 3 3 2 2" xfId="8511"/>
    <cellStyle name="Normal 74 2 3 3 2 2 2" xfId="17552"/>
    <cellStyle name="Normal 74 2 3 3 2 3" xfId="13039"/>
    <cellStyle name="Normal 74 2 3 3 3" xfId="6280"/>
    <cellStyle name="Normal 74 2 3 3 3 2" xfId="15321"/>
    <cellStyle name="Normal 74 2 3 3 4" xfId="10808"/>
    <cellStyle name="Normal 74 2 3 4" xfId="3994"/>
    <cellStyle name="Normal 74 2 3 4 2" xfId="8508"/>
    <cellStyle name="Normal 74 2 3 4 2 2" xfId="17549"/>
    <cellStyle name="Normal 74 2 3 4 3" xfId="13036"/>
    <cellStyle name="Normal 74 2 3 5" xfId="5152"/>
    <cellStyle name="Normal 74 2 3 5 2" xfId="14193"/>
    <cellStyle name="Normal 74 2 3 6" xfId="9680"/>
    <cellStyle name="Normal 74 2 4" xfId="775"/>
    <cellStyle name="Normal 74 2 4 2" xfId="1945"/>
    <cellStyle name="Normal 74 2 4 2 2" xfId="3999"/>
    <cellStyle name="Normal 74 2 4 2 2 2" xfId="8513"/>
    <cellStyle name="Normal 74 2 4 2 2 2 2" xfId="17554"/>
    <cellStyle name="Normal 74 2 4 2 2 3" xfId="13041"/>
    <cellStyle name="Normal 74 2 4 2 3" xfId="6468"/>
    <cellStyle name="Normal 74 2 4 2 3 2" xfId="15509"/>
    <cellStyle name="Normal 74 2 4 2 4" xfId="10996"/>
    <cellStyle name="Normal 74 2 4 3" xfId="3998"/>
    <cellStyle name="Normal 74 2 4 3 2" xfId="8512"/>
    <cellStyle name="Normal 74 2 4 3 2 2" xfId="17553"/>
    <cellStyle name="Normal 74 2 4 3 3" xfId="13040"/>
    <cellStyle name="Normal 74 2 4 4" xfId="5340"/>
    <cellStyle name="Normal 74 2 4 4 2" xfId="14381"/>
    <cellStyle name="Normal 74 2 4 5" xfId="9868"/>
    <cellStyle name="Normal 74 2 5" xfId="1381"/>
    <cellStyle name="Normal 74 2 5 2" xfId="4000"/>
    <cellStyle name="Normal 74 2 5 2 2" xfId="8514"/>
    <cellStyle name="Normal 74 2 5 2 2 2" xfId="17555"/>
    <cellStyle name="Normal 74 2 5 2 3" xfId="13042"/>
    <cellStyle name="Normal 74 2 5 3" xfId="5904"/>
    <cellStyle name="Normal 74 2 5 3 2" xfId="14945"/>
    <cellStyle name="Normal 74 2 5 4" xfId="10432"/>
    <cellStyle name="Normal 74 2 6" xfId="3989"/>
    <cellStyle name="Normal 74 2 6 2" xfId="8503"/>
    <cellStyle name="Normal 74 2 6 2 2" xfId="17544"/>
    <cellStyle name="Normal 74 2 6 3" xfId="13031"/>
    <cellStyle name="Normal 74 2 7" xfId="4776"/>
    <cellStyle name="Normal 74 2 7 2" xfId="13817"/>
    <cellStyle name="Normal 74 2 8" xfId="9304"/>
    <cellStyle name="Normal 74 3" xfId="305"/>
    <cellStyle name="Normal 74 3 2" xfId="869"/>
    <cellStyle name="Normal 74 3 2 2" xfId="2039"/>
    <cellStyle name="Normal 74 3 2 2 2" xfId="4003"/>
    <cellStyle name="Normal 74 3 2 2 2 2" xfId="8517"/>
    <cellStyle name="Normal 74 3 2 2 2 2 2" xfId="17558"/>
    <cellStyle name="Normal 74 3 2 2 2 3" xfId="13045"/>
    <cellStyle name="Normal 74 3 2 2 3" xfId="6562"/>
    <cellStyle name="Normal 74 3 2 2 3 2" xfId="15603"/>
    <cellStyle name="Normal 74 3 2 2 4" xfId="11090"/>
    <cellStyle name="Normal 74 3 2 3" xfId="4002"/>
    <cellStyle name="Normal 74 3 2 3 2" xfId="8516"/>
    <cellStyle name="Normal 74 3 2 3 2 2" xfId="17557"/>
    <cellStyle name="Normal 74 3 2 3 3" xfId="13044"/>
    <cellStyle name="Normal 74 3 2 4" xfId="5434"/>
    <cellStyle name="Normal 74 3 2 4 2" xfId="14475"/>
    <cellStyle name="Normal 74 3 2 5" xfId="9962"/>
    <cellStyle name="Normal 74 3 3" xfId="1475"/>
    <cellStyle name="Normal 74 3 3 2" xfId="4004"/>
    <cellStyle name="Normal 74 3 3 2 2" xfId="8518"/>
    <cellStyle name="Normal 74 3 3 2 2 2" xfId="17559"/>
    <cellStyle name="Normal 74 3 3 2 3" xfId="13046"/>
    <cellStyle name="Normal 74 3 3 3" xfId="5998"/>
    <cellStyle name="Normal 74 3 3 3 2" xfId="15039"/>
    <cellStyle name="Normal 74 3 3 4" xfId="10526"/>
    <cellStyle name="Normal 74 3 4" xfId="4001"/>
    <cellStyle name="Normal 74 3 4 2" xfId="8515"/>
    <cellStyle name="Normal 74 3 4 2 2" xfId="17556"/>
    <cellStyle name="Normal 74 3 4 3" xfId="13043"/>
    <cellStyle name="Normal 74 3 5" xfId="4870"/>
    <cellStyle name="Normal 74 3 5 2" xfId="13911"/>
    <cellStyle name="Normal 74 3 6" xfId="9398"/>
    <cellStyle name="Normal 74 4" xfId="493"/>
    <cellStyle name="Normal 74 4 2" xfId="1057"/>
    <cellStyle name="Normal 74 4 2 2" xfId="2227"/>
    <cellStyle name="Normal 74 4 2 2 2" xfId="4007"/>
    <cellStyle name="Normal 74 4 2 2 2 2" xfId="8521"/>
    <cellStyle name="Normal 74 4 2 2 2 2 2" xfId="17562"/>
    <cellStyle name="Normal 74 4 2 2 2 3" xfId="13049"/>
    <cellStyle name="Normal 74 4 2 2 3" xfId="6750"/>
    <cellStyle name="Normal 74 4 2 2 3 2" xfId="15791"/>
    <cellStyle name="Normal 74 4 2 2 4" xfId="11278"/>
    <cellStyle name="Normal 74 4 2 3" xfId="4006"/>
    <cellStyle name="Normal 74 4 2 3 2" xfId="8520"/>
    <cellStyle name="Normal 74 4 2 3 2 2" xfId="17561"/>
    <cellStyle name="Normal 74 4 2 3 3" xfId="13048"/>
    <cellStyle name="Normal 74 4 2 4" xfId="5622"/>
    <cellStyle name="Normal 74 4 2 4 2" xfId="14663"/>
    <cellStyle name="Normal 74 4 2 5" xfId="10150"/>
    <cellStyle name="Normal 74 4 3" xfId="1663"/>
    <cellStyle name="Normal 74 4 3 2" xfId="4008"/>
    <cellStyle name="Normal 74 4 3 2 2" xfId="8522"/>
    <cellStyle name="Normal 74 4 3 2 2 2" xfId="17563"/>
    <cellStyle name="Normal 74 4 3 2 3" xfId="13050"/>
    <cellStyle name="Normal 74 4 3 3" xfId="6186"/>
    <cellStyle name="Normal 74 4 3 3 2" xfId="15227"/>
    <cellStyle name="Normal 74 4 3 4" xfId="10714"/>
    <cellStyle name="Normal 74 4 4" xfId="4005"/>
    <cellStyle name="Normal 74 4 4 2" xfId="8519"/>
    <cellStyle name="Normal 74 4 4 2 2" xfId="17560"/>
    <cellStyle name="Normal 74 4 4 3" xfId="13047"/>
    <cellStyle name="Normal 74 4 5" xfId="5058"/>
    <cellStyle name="Normal 74 4 5 2" xfId="14099"/>
    <cellStyle name="Normal 74 4 6" xfId="9586"/>
    <cellStyle name="Normal 74 5" xfId="681"/>
    <cellStyle name="Normal 74 5 2" xfId="1851"/>
    <cellStyle name="Normal 74 5 2 2" xfId="4010"/>
    <cellStyle name="Normal 74 5 2 2 2" xfId="8524"/>
    <cellStyle name="Normal 74 5 2 2 2 2" xfId="17565"/>
    <cellStyle name="Normal 74 5 2 2 3" xfId="13052"/>
    <cellStyle name="Normal 74 5 2 3" xfId="6374"/>
    <cellStyle name="Normal 74 5 2 3 2" xfId="15415"/>
    <cellStyle name="Normal 74 5 2 4" xfId="10902"/>
    <cellStyle name="Normal 74 5 3" xfId="4009"/>
    <cellStyle name="Normal 74 5 3 2" xfId="8523"/>
    <cellStyle name="Normal 74 5 3 2 2" xfId="17564"/>
    <cellStyle name="Normal 74 5 3 3" xfId="13051"/>
    <cellStyle name="Normal 74 5 4" xfId="5246"/>
    <cellStyle name="Normal 74 5 4 2" xfId="14287"/>
    <cellStyle name="Normal 74 5 5" xfId="9774"/>
    <cellStyle name="Normal 74 6" xfId="1287"/>
    <cellStyle name="Normal 74 6 2" xfId="4011"/>
    <cellStyle name="Normal 74 6 2 2" xfId="8525"/>
    <cellStyle name="Normal 74 6 2 2 2" xfId="17566"/>
    <cellStyle name="Normal 74 6 2 3" xfId="13053"/>
    <cellStyle name="Normal 74 6 3" xfId="5810"/>
    <cellStyle name="Normal 74 6 3 2" xfId="14851"/>
    <cellStyle name="Normal 74 6 4" xfId="10338"/>
    <cellStyle name="Normal 74 7" xfId="3988"/>
    <cellStyle name="Normal 74 7 2" xfId="8502"/>
    <cellStyle name="Normal 74 7 2 2" xfId="17543"/>
    <cellStyle name="Normal 74 7 3" xfId="13030"/>
    <cellStyle name="Normal 74 8" xfId="4682"/>
    <cellStyle name="Normal 74 8 2" xfId="13723"/>
    <cellStyle name="Normal 74 9" xfId="9210"/>
    <cellStyle name="Normal 75" xfId="75"/>
    <cellStyle name="Normal 75 2" xfId="171"/>
    <cellStyle name="Normal 75 2 2" xfId="400"/>
    <cellStyle name="Normal 75 2 2 2" xfId="964"/>
    <cellStyle name="Normal 75 2 2 2 2" xfId="2134"/>
    <cellStyle name="Normal 75 2 2 2 2 2" xfId="4016"/>
    <cellStyle name="Normal 75 2 2 2 2 2 2" xfId="8530"/>
    <cellStyle name="Normal 75 2 2 2 2 2 2 2" xfId="17571"/>
    <cellStyle name="Normal 75 2 2 2 2 2 3" xfId="13058"/>
    <cellStyle name="Normal 75 2 2 2 2 3" xfId="6657"/>
    <cellStyle name="Normal 75 2 2 2 2 3 2" xfId="15698"/>
    <cellStyle name="Normal 75 2 2 2 2 4" xfId="11185"/>
    <cellStyle name="Normal 75 2 2 2 3" xfId="4015"/>
    <cellStyle name="Normal 75 2 2 2 3 2" xfId="8529"/>
    <cellStyle name="Normal 75 2 2 2 3 2 2" xfId="17570"/>
    <cellStyle name="Normal 75 2 2 2 3 3" xfId="13057"/>
    <cellStyle name="Normal 75 2 2 2 4" xfId="5529"/>
    <cellStyle name="Normal 75 2 2 2 4 2" xfId="14570"/>
    <cellStyle name="Normal 75 2 2 2 5" xfId="10057"/>
    <cellStyle name="Normal 75 2 2 3" xfId="1570"/>
    <cellStyle name="Normal 75 2 2 3 2" xfId="4017"/>
    <cellStyle name="Normal 75 2 2 3 2 2" xfId="8531"/>
    <cellStyle name="Normal 75 2 2 3 2 2 2" xfId="17572"/>
    <cellStyle name="Normal 75 2 2 3 2 3" xfId="13059"/>
    <cellStyle name="Normal 75 2 2 3 3" xfId="6093"/>
    <cellStyle name="Normal 75 2 2 3 3 2" xfId="15134"/>
    <cellStyle name="Normal 75 2 2 3 4" xfId="10621"/>
    <cellStyle name="Normal 75 2 2 4" xfId="4014"/>
    <cellStyle name="Normal 75 2 2 4 2" xfId="8528"/>
    <cellStyle name="Normal 75 2 2 4 2 2" xfId="17569"/>
    <cellStyle name="Normal 75 2 2 4 3" xfId="13056"/>
    <cellStyle name="Normal 75 2 2 5" xfId="4965"/>
    <cellStyle name="Normal 75 2 2 5 2" xfId="14006"/>
    <cellStyle name="Normal 75 2 2 6" xfId="9493"/>
    <cellStyle name="Normal 75 2 3" xfId="588"/>
    <cellStyle name="Normal 75 2 3 2" xfId="1152"/>
    <cellStyle name="Normal 75 2 3 2 2" xfId="2322"/>
    <cellStyle name="Normal 75 2 3 2 2 2" xfId="4020"/>
    <cellStyle name="Normal 75 2 3 2 2 2 2" xfId="8534"/>
    <cellStyle name="Normal 75 2 3 2 2 2 2 2" xfId="17575"/>
    <cellStyle name="Normal 75 2 3 2 2 2 3" xfId="13062"/>
    <cellStyle name="Normal 75 2 3 2 2 3" xfId="6845"/>
    <cellStyle name="Normal 75 2 3 2 2 3 2" xfId="15886"/>
    <cellStyle name="Normal 75 2 3 2 2 4" xfId="11373"/>
    <cellStyle name="Normal 75 2 3 2 3" xfId="4019"/>
    <cellStyle name="Normal 75 2 3 2 3 2" xfId="8533"/>
    <cellStyle name="Normal 75 2 3 2 3 2 2" xfId="17574"/>
    <cellStyle name="Normal 75 2 3 2 3 3" xfId="13061"/>
    <cellStyle name="Normal 75 2 3 2 4" xfId="5717"/>
    <cellStyle name="Normal 75 2 3 2 4 2" xfId="14758"/>
    <cellStyle name="Normal 75 2 3 2 5" xfId="10245"/>
    <cellStyle name="Normal 75 2 3 3" xfId="1758"/>
    <cellStyle name="Normal 75 2 3 3 2" xfId="4021"/>
    <cellStyle name="Normal 75 2 3 3 2 2" xfId="8535"/>
    <cellStyle name="Normal 75 2 3 3 2 2 2" xfId="17576"/>
    <cellStyle name="Normal 75 2 3 3 2 3" xfId="13063"/>
    <cellStyle name="Normal 75 2 3 3 3" xfId="6281"/>
    <cellStyle name="Normal 75 2 3 3 3 2" xfId="15322"/>
    <cellStyle name="Normal 75 2 3 3 4" xfId="10809"/>
    <cellStyle name="Normal 75 2 3 4" xfId="4018"/>
    <cellStyle name="Normal 75 2 3 4 2" xfId="8532"/>
    <cellStyle name="Normal 75 2 3 4 2 2" xfId="17573"/>
    <cellStyle name="Normal 75 2 3 4 3" xfId="13060"/>
    <cellStyle name="Normal 75 2 3 5" xfId="5153"/>
    <cellStyle name="Normal 75 2 3 5 2" xfId="14194"/>
    <cellStyle name="Normal 75 2 3 6" xfId="9681"/>
    <cellStyle name="Normal 75 2 4" xfId="776"/>
    <cellStyle name="Normal 75 2 4 2" xfId="1946"/>
    <cellStyle name="Normal 75 2 4 2 2" xfId="4023"/>
    <cellStyle name="Normal 75 2 4 2 2 2" xfId="8537"/>
    <cellStyle name="Normal 75 2 4 2 2 2 2" xfId="17578"/>
    <cellStyle name="Normal 75 2 4 2 2 3" xfId="13065"/>
    <cellStyle name="Normal 75 2 4 2 3" xfId="6469"/>
    <cellStyle name="Normal 75 2 4 2 3 2" xfId="15510"/>
    <cellStyle name="Normal 75 2 4 2 4" xfId="10997"/>
    <cellStyle name="Normal 75 2 4 3" xfId="4022"/>
    <cellStyle name="Normal 75 2 4 3 2" xfId="8536"/>
    <cellStyle name="Normal 75 2 4 3 2 2" xfId="17577"/>
    <cellStyle name="Normal 75 2 4 3 3" xfId="13064"/>
    <cellStyle name="Normal 75 2 4 4" xfId="5341"/>
    <cellStyle name="Normal 75 2 4 4 2" xfId="14382"/>
    <cellStyle name="Normal 75 2 4 5" xfId="9869"/>
    <cellStyle name="Normal 75 2 5" xfId="1382"/>
    <cellStyle name="Normal 75 2 5 2" xfId="4024"/>
    <cellStyle name="Normal 75 2 5 2 2" xfId="8538"/>
    <cellStyle name="Normal 75 2 5 2 2 2" xfId="17579"/>
    <cellStyle name="Normal 75 2 5 2 3" xfId="13066"/>
    <cellStyle name="Normal 75 2 5 3" xfId="5905"/>
    <cellStyle name="Normal 75 2 5 3 2" xfId="14946"/>
    <cellStyle name="Normal 75 2 5 4" xfId="10433"/>
    <cellStyle name="Normal 75 2 6" xfId="4013"/>
    <cellStyle name="Normal 75 2 6 2" xfId="8527"/>
    <cellStyle name="Normal 75 2 6 2 2" xfId="17568"/>
    <cellStyle name="Normal 75 2 6 3" xfId="13055"/>
    <cellStyle name="Normal 75 2 7" xfId="4777"/>
    <cellStyle name="Normal 75 2 7 2" xfId="13818"/>
    <cellStyle name="Normal 75 2 8" xfId="9305"/>
    <cellStyle name="Normal 75 3" xfId="306"/>
    <cellStyle name="Normal 75 3 2" xfId="870"/>
    <cellStyle name="Normal 75 3 2 2" xfId="2040"/>
    <cellStyle name="Normal 75 3 2 2 2" xfId="4027"/>
    <cellStyle name="Normal 75 3 2 2 2 2" xfId="8541"/>
    <cellStyle name="Normal 75 3 2 2 2 2 2" xfId="17582"/>
    <cellStyle name="Normal 75 3 2 2 2 3" xfId="13069"/>
    <cellStyle name="Normal 75 3 2 2 3" xfId="6563"/>
    <cellStyle name="Normal 75 3 2 2 3 2" xfId="15604"/>
    <cellStyle name="Normal 75 3 2 2 4" xfId="11091"/>
    <cellStyle name="Normal 75 3 2 3" xfId="4026"/>
    <cellStyle name="Normal 75 3 2 3 2" xfId="8540"/>
    <cellStyle name="Normal 75 3 2 3 2 2" xfId="17581"/>
    <cellStyle name="Normal 75 3 2 3 3" xfId="13068"/>
    <cellStyle name="Normal 75 3 2 4" xfId="5435"/>
    <cellStyle name="Normal 75 3 2 4 2" xfId="14476"/>
    <cellStyle name="Normal 75 3 2 5" xfId="9963"/>
    <cellStyle name="Normal 75 3 3" xfId="1476"/>
    <cellStyle name="Normal 75 3 3 2" xfId="4028"/>
    <cellStyle name="Normal 75 3 3 2 2" xfId="8542"/>
    <cellStyle name="Normal 75 3 3 2 2 2" xfId="17583"/>
    <cellStyle name="Normal 75 3 3 2 3" xfId="13070"/>
    <cellStyle name="Normal 75 3 3 3" xfId="5999"/>
    <cellStyle name="Normal 75 3 3 3 2" xfId="15040"/>
    <cellStyle name="Normal 75 3 3 4" xfId="10527"/>
    <cellStyle name="Normal 75 3 4" xfId="4025"/>
    <cellStyle name="Normal 75 3 4 2" xfId="8539"/>
    <cellStyle name="Normal 75 3 4 2 2" xfId="17580"/>
    <cellStyle name="Normal 75 3 4 3" xfId="13067"/>
    <cellStyle name="Normal 75 3 5" xfId="4871"/>
    <cellStyle name="Normal 75 3 5 2" xfId="13912"/>
    <cellStyle name="Normal 75 3 6" xfId="9399"/>
    <cellStyle name="Normal 75 4" xfId="494"/>
    <cellStyle name="Normal 75 4 2" xfId="1058"/>
    <cellStyle name="Normal 75 4 2 2" xfId="2228"/>
    <cellStyle name="Normal 75 4 2 2 2" xfId="4031"/>
    <cellStyle name="Normal 75 4 2 2 2 2" xfId="8545"/>
    <cellStyle name="Normal 75 4 2 2 2 2 2" xfId="17586"/>
    <cellStyle name="Normal 75 4 2 2 2 3" xfId="13073"/>
    <cellStyle name="Normal 75 4 2 2 3" xfId="6751"/>
    <cellStyle name="Normal 75 4 2 2 3 2" xfId="15792"/>
    <cellStyle name="Normal 75 4 2 2 4" xfId="11279"/>
    <cellStyle name="Normal 75 4 2 3" xfId="4030"/>
    <cellStyle name="Normal 75 4 2 3 2" xfId="8544"/>
    <cellStyle name="Normal 75 4 2 3 2 2" xfId="17585"/>
    <cellStyle name="Normal 75 4 2 3 3" xfId="13072"/>
    <cellStyle name="Normal 75 4 2 4" xfId="5623"/>
    <cellStyle name="Normal 75 4 2 4 2" xfId="14664"/>
    <cellStyle name="Normal 75 4 2 5" xfId="10151"/>
    <cellStyle name="Normal 75 4 3" xfId="1664"/>
    <cellStyle name="Normal 75 4 3 2" xfId="4032"/>
    <cellStyle name="Normal 75 4 3 2 2" xfId="8546"/>
    <cellStyle name="Normal 75 4 3 2 2 2" xfId="17587"/>
    <cellStyle name="Normal 75 4 3 2 3" xfId="13074"/>
    <cellStyle name="Normal 75 4 3 3" xfId="6187"/>
    <cellStyle name="Normal 75 4 3 3 2" xfId="15228"/>
    <cellStyle name="Normal 75 4 3 4" xfId="10715"/>
    <cellStyle name="Normal 75 4 4" xfId="4029"/>
    <cellStyle name="Normal 75 4 4 2" xfId="8543"/>
    <cellStyle name="Normal 75 4 4 2 2" xfId="17584"/>
    <cellStyle name="Normal 75 4 4 3" xfId="13071"/>
    <cellStyle name="Normal 75 4 5" xfId="5059"/>
    <cellStyle name="Normal 75 4 5 2" xfId="14100"/>
    <cellStyle name="Normal 75 4 6" xfId="9587"/>
    <cellStyle name="Normal 75 5" xfId="682"/>
    <cellStyle name="Normal 75 5 2" xfId="1852"/>
    <cellStyle name="Normal 75 5 2 2" xfId="4034"/>
    <cellStyle name="Normal 75 5 2 2 2" xfId="8548"/>
    <cellStyle name="Normal 75 5 2 2 2 2" xfId="17589"/>
    <cellStyle name="Normal 75 5 2 2 3" xfId="13076"/>
    <cellStyle name="Normal 75 5 2 3" xfId="6375"/>
    <cellStyle name="Normal 75 5 2 3 2" xfId="15416"/>
    <cellStyle name="Normal 75 5 2 4" xfId="10903"/>
    <cellStyle name="Normal 75 5 3" xfId="4033"/>
    <cellStyle name="Normal 75 5 3 2" xfId="8547"/>
    <cellStyle name="Normal 75 5 3 2 2" xfId="17588"/>
    <cellStyle name="Normal 75 5 3 3" xfId="13075"/>
    <cellStyle name="Normal 75 5 4" xfId="5247"/>
    <cellStyle name="Normal 75 5 4 2" xfId="14288"/>
    <cellStyle name="Normal 75 5 5" xfId="9775"/>
    <cellStyle name="Normal 75 6" xfId="1288"/>
    <cellStyle name="Normal 75 6 2" xfId="4035"/>
    <cellStyle name="Normal 75 6 2 2" xfId="8549"/>
    <cellStyle name="Normal 75 6 2 2 2" xfId="17590"/>
    <cellStyle name="Normal 75 6 2 3" xfId="13077"/>
    <cellStyle name="Normal 75 6 3" xfId="5811"/>
    <cellStyle name="Normal 75 6 3 2" xfId="14852"/>
    <cellStyle name="Normal 75 6 4" xfId="10339"/>
    <cellStyle name="Normal 75 7" xfId="4012"/>
    <cellStyle name="Normal 75 7 2" xfId="8526"/>
    <cellStyle name="Normal 75 7 2 2" xfId="17567"/>
    <cellStyle name="Normal 75 7 3" xfId="13054"/>
    <cellStyle name="Normal 75 8" xfId="4683"/>
    <cellStyle name="Normal 75 8 2" xfId="13724"/>
    <cellStyle name="Normal 75 9" xfId="9211"/>
    <cellStyle name="Normal 76" xfId="76"/>
    <cellStyle name="Normal 76 2" xfId="172"/>
    <cellStyle name="Normal 76 2 2" xfId="401"/>
    <cellStyle name="Normal 76 2 2 2" xfId="965"/>
    <cellStyle name="Normal 76 2 2 2 2" xfId="2135"/>
    <cellStyle name="Normal 76 2 2 2 2 2" xfId="4040"/>
    <cellStyle name="Normal 76 2 2 2 2 2 2" xfId="8554"/>
    <cellStyle name="Normal 76 2 2 2 2 2 2 2" xfId="17595"/>
    <cellStyle name="Normal 76 2 2 2 2 2 3" xfId="13082"/>
    <cellStyle name="Normal 76 2 2 2 2 3" xfId="6658"/>
    <cellStyle name="Normal 76 2 2 2 2 3 2" xfId="15699"/>
    <cellStyle name="Normal 76 2 2 2 2 4" xfId="11186"/>
    <cellStyle name="Normal 76 2 2 2 3" xfId="4039"/>
    <cellStyle name="Normal 76 2 2 2 3 2" xfId="8553"/>
    <cellStyle name="Normal 76 2 2 2 3 2 2" xfId="17594"/>
    <cellStyle name="Normal 76 2 2 2 3 3" xfId="13081"/>
    <cellStyle name="Normal 76 2 2 2 4" xfId="5530"/>
    <cellStyle name="Normal 76 2 2 2 4 2" xfId="14571"/>
    <cellStyle name="Normal 76 2 2 2 5" xfId="10058"/>
    <cellStyle name="Normal 76 2 2 3" xfId="1571"/>
    <cellStyle name="Normal 76 2 2 3 2" xfId="4041"/>
    <cellStyle name="Normal 76 2 2 3 2 2" xfId="8555"/>
    <cellStyle name="Normal 76 2 2 3 2 2 2" xfId="17596"/>
    <cellStyle name="Normal 76 2 2 3 2 3" xfId="13083"/>
    <cellStyle name="Normal 76 2 2 3 3" xfId="6094"/>
    <cellStyle name="Normal 76 2 2 3 3 2" xfId="15135"/>
    <cellStyle name="Normal 76 2 2 3 4" xfId="10622"/>
    <cellStyle name="Normal 76 2 2 4" xfId="4038"/>
    <cellStyle name="Normal 76 2 2 4 2" xfId="8552"/>
    <cellStyle name="Normal 76 2 2 4 2 2" xfId="17593"/>
    <cellStyle name="Normal 76 2 2 4 3" xfId="13080"/>
    <cellStyle name="Normal 76 2 2 5" xfId="4966"/>
    <cellStyle name="Normal 76 2 2 5 2" xfId="14007"/>
    <cellStyle name="Normal 76 2 2 6" xfId="9494"/>
    <cellStyle name="Normal 76 2 3" xfId="589"/>
    <cellStyle name="Normal 76 2 3 2" xfId="1153"/>
    <cellStyle name="Normal 76 2 3 2 2" xfId="2323"/>
    <cellStyle name="Normal 76 2 3 2 2 2" xfId="4044"/>
    <cellStyle name="Normal 76 2 3 2 2 2 2" xfId="8558"/>
    <cellStyle name="Normal 76 2 3 2 2 2 2 2" xfId="17599"/>
    <cellStyle name="Normal 76 2 3 2 2 2 3" xfId="13086"/>
    <cellStyle name="Normal 76 2 3 2 2 3" xfId="6846"/>
    <cellStyle name="Normal 76 2 3 2 2 3 2" xfId="15887"/>
    <cellStyle name="Normal 76 2 3 2 2 4" xfId="11374"/>
    <cellStyle name="Normal 76 2 3 2 3" xfId="4043"/>
    <cellStyle name="Normal 76 2 3 2 3 2" xfId="8557"/>
    <cellStyle name="Normal 76 2 3 2 3 2 2" xfId="17598"/>
    <cellStyle name="Normal 76 2 3 2 3 3" xfId="13085"/>
    <cellStyle name="Normal 76 2 3 2 4" xfId="5718"/>
    <cellStyle name="Normal 76 2 3 2 4 2" xfId="14759"/>
    <cellStyle name="Normal 76 2 3 2 5" xfId="10246"/>
    <cellStyle name="Normal 76 2 3 3" xfId="1759"/>
    <cellStyle name="Normal 76 2 3 3 2" xfId="4045"/>
    <cellStyle name="Normal 76 2 3 3 2 2" xfId="8559"/>
    <cellStyle name="Normal 76 2 3 3 2 2 2" xfId="17600"/>
    <cellStyle name="Normal 76 2 3 3 2 3" xfId="13087"/>
    <cellStyle name="Normal 76 2 3 3 3" xfId="6282"/>
    <cellStyle name="Normal 76 2 3 3 3 2" xfId="15323"/>
    <cellStyle name="Normal 76 2 3 3 4" xfId="10810"/>
    <cellStyle name="Normal 76 2 3 4" xfId="4042"/>
    <cellStyle name="Normal 76 2 3 4 2" xfId="8556"/>
    <cellStyle name="Normal 76 2 3 4 2 2" xfId="17597"/>
    <cellStyle name="Normal 76 2 3 4 3" xfId="13084"/>
    <cellStyle name="Normal 76 2 3 5" xfId="5154"/>
    <cellStyle name="Normal 76 2 3 5 2" xfId="14195"/>
    <cellStyle name="Normal 76 2 3 6" xfId="9682"/>
    <cellStyle name="Normal 76 2 4" xfId="777"/>
    <cellStyle name="Normal 76 2 4 2" xfId="1947"/>
    <cellStyle name="Normal 76 2 4 2 2" xfId="4047"/>
    <cellStyle name="Normal 76 2 4 2 2 2" xfId="8561"/>
    <cellStyle name="Normal 76 2 4 2 2 2 2" xfId="17602"/>
    <cellStyle name="Normal 76 2 4 2 2 3" xfId="13089"/>
    <cellStyle name="Normal 76 2 4 2 3" xfId="6470"/>
    <cellStyle name="Normal 76 2 4 2 3 2" xfId="15511"/>
    <cellStyle name="Normal 76 2 4 2 4" xfId="10998"/>
    <cellStyle name="Normal 76 2 4 3" xfId="4046"/>
    <cellStyle name="Normal 76 2 4 3 2" xfId="8560"/>
    <cellStyle name="Normal 76 2 4 3 2 2" xfId="17601"/>
    <cellStyle name="Normal 76 2 4 3 3" xfId="13088"/>
    <cellStyle name="Normal 76 2 4 4" xfId="5342"/>
    <cellStyle name="Normal 76 2 4 4 2" xfId="14383"/>
    <cellStyle name="Normal 76 2 4 5" xfId="9870"/>
    <cellStyle name="Normal 76 2 5" xfId="1383"/>
    <cellStyle name="Normal 76 2 5 2" xfId="4048"/>
    <cellStyle name="Normal 76 2 5 2 2" xfId="8562"/>
    <cellStyle name="Normal 76 2 5 2 2 2" xfId="17603"/>
    <cellStyle name="Normal 76 2 5 2 3" xfId="13090"/>
    <cellStyle name="Normal 76 2 5 3" xfId="5906"/>
    <cellStyle name="Normal 76 2 5 3 2" xfId="14947"/>
    <cellStyle name="Normal 76 2 5 4" xfId="10434"/>
    <cellStyle name="Normal 76 2 6" xfId="4037"/>
    <cellStyle name="Normal 76 2 6 2" xfId="8551"/>
    <cellStyle name="Normal 76 2 6 2 2" xfId="17592"/>
    <cellStyle name="Normal 76 2 6 3" xfId="13079"/>
    <cellStyle name="Normal 76 2 7" xfId="4778"/>
    <cellStyle name="Normal 76 2 7 2" xfId="13819"/>
    <cellStyle name="Normal 76 2 8" xfId="9306"/>
    <cellStyle name="Normal 76 3" xfId="307"/>
    <cellStyle name="Normal 76 3 2" xfId="871"/>
    <cellStyle name="Normal 76 3 2 2" xfId="2041"/>
    <cellStyle name="Normal 76 3 2 2 2" xfId="4051"/>
    <cellStyle name="Normal 76 3 2 2 2 2" xfId="8565"/>
    <cellStyle name="Normal 76 3 2 2 2 2 2" xfId="17606"/>
    <cellStyle name="Normal 76 3 2 2 2 3" xfId="13093"/>
    <cellStyle name="Normal 76 3 2 2 3" xfId="6564"/>
    <cellStyle name="Normal 76 3 2 2 3 2" xfId="15605"/>
    <cellStyle name="Normal 76 3 2 2 4" xfId="11092"/>
    <cellStyle name="Normal 76 3 2 3" xfId="4050"/>
    <cellStyle name="Normal 76 3 2 3 2" xfId="8564"/>
    <cellStyle name="Normal 76 3 2 3 2 2" xfId="17605"/>
    <cellStyle name="Normal 76 3 2 3 3" xfId="13092"/>
    <cellStyle name="Normal 76 3 2 4" xfId="5436"/>
    <cellStyle name="Normal 76 3 2 4 2" xfId="14477"/>
    <cellStyle name="Normal 76 3 2 5" xfId="9964"/>
    <cellStyle name="Normal 76 3 3" xfId="1477"/>
    <cellStyle name="Normal 76 3 3 2" xfId="4052"/>
    <cellStyle name="Normal 76 3 3 2 2" xfId="8566"/>
    <cellStyle name="Normal 76 3 3 2 2 2" xfId="17607"/>
    <cellStyle name="Normal 76 3 3 2 3" xfId="13094"/>
    <cellStyle name="Normal 76 3 3 3" xfId="6000"/>
    <cellStyle name="Normal 76 3 3 3 2" xfId="15041"/>
    <cellStyle name="Normal 76 3 3 4" xfId="10528"/>
    <cellStyle name="Normal 76 3 4" xfId="4049"/>
    <cellStyle name="Normal 76 3 4 2" xfId="8563"/>
    <cellStyle name="Normal 76 3 4 2 2" xfId="17604"/>
    <cellStyle name="Normal 76 3 4 3" xfId="13091"/>
    <cellStyle name="Normal 76 3 5" xfId="4872"/>
    <cellStyle name="Normal 76 3 5 2" xfId="13913"/>
    <cellStyle name="Normal 76 3 6" xfId="9400"/>
    <cellStyle name="Normal 76 4" xfId="495"/>
    <cellStyle name="Normal 76 4 2" xfId="1059"/>
    <cellStyle name="Normal 76 4 2 2" xfId="2229"/>
    <cellStyle name="Normal 76 4 2 2 2" xfId="4055"/>
    <cellStyle name="Normal 76 4 2 2 2 2" xfId="8569"/>
    <cellStyle name="Normal 76 4 2 2 2 2 2" xfId="17610"/>
    <cellStyle name="Normal 76 4 2 2 2 3" xfId="13097"/>
    <cellStyle name="Normal 76 4 2 2 3" xfId="6752"/>
    <cellStyle name="Normal 76 4 2 2 3 2" xfId="15793"/>
    <cellStyle name="Normal 76 4 2 2 4" xfId="11280"/>
    <cellStyle name="Normal 76 4 2 3" xfId="4054"/>
    <cellStyle name="Normal 76 4 2 3 2" xfId="8568"/>
    <cellStyle name="Normal 76 4 2 3 2 2" xfId="17609"/>
    <cellStyle name="Normal 76 4 2 3 3" xfId="13096"/>
    <cellStyle name="Normal 76 4 2 4" xfId="5624"/>
    <cellStyle name="Normal 76 4 2 4 2" xfId="14665"/>
    <cellStyle name="Normal 76 4 2 5" xfId="10152"/>
    <cellStyle name="Normal 76 4 3" xfId="1665"/>
    <cellStyle name="Normal 76 4 3 2" xfId="4056"/>
    <cellStyle name="Normal 76 4 3 2 2" xfId="8570"/>
    <cellStyle name="Normal 76 4 3 2 2 2" xfId="17611"/>
    <cellStyle name="Normal 76 4 3 2 3" xfId="13098"/>
    <cellStyle name="Normal 76 4 3 3" xfId="6188"/>
    <cellStyle name="Normal 76 4 3 3 2" xfId="15229"/>
    <cellStyle name="Normal 76 4 3 4" xfId="10716"/>
    <cellStyle name="Normal 76 4 4" xfId="4053"/>
    <cellStyle name="Normal 76 4 4 2" xfId="8567"/>
    <cellStyle name="Normal 76 4 4 2 2" xfId="17608"/>
    <cellStyle name="Normal 76 4 4 3" xfId="13095"/>
    <cellStyle name="Normal 76 4 5" xfId="5060"/>
    <cellStyle name="Normal 76 4 5 2" xfId="14101"/>
    <cellStyle name="Normal 76 4 6" xfId="9588"/>
    <cellStyle name="Normal 76 5" xfId="683"/>
    <cellStyle name="Normal 76 5 2" xfId="1853"/>
    <cellStyle name="Normal 76 5 2 2" xfId="4058"/>
    <cellStyle name="Normal 76 5 2 2 2" xfId="8572"/>
    <cellStyle name="Normal 76 5 2 2 2 2" xfId="17613"/>
    <cellStyle name="Normal 76 5 2 2 3" xfId="13100"/>
    <cellStyle name="Normal 76 5 2 3" xfId="6376"/>
    <cellStyle name="Normal 76 5 2 3 2" xfId="15417"/>
    <cellStyle name="Normal 76 5 2 4" xfId="10904"/>
    <cellStyle name="Normal 76 5 3" xfId="4057"/>
    <cellStyle name="Normal 76 5 3 2" xfId="8571"/>
    <cellStyle name="Normal 76 5 3 2 2" xfId="17612"/>
    <cellStyle name="Normal 76 5 3 3" xfId="13099"/>
    <cellStyle name="Normal 76 5 4" xfId="5248"/>
    <cellStyle name="Normal 76 5 4 2" xfId="14289"/>
    <cellStyle name="Normal 76 5 5" xfId="9776"/>
    <cellStyle name="Normal 76 6" xfId="1289"/>
    <cellStyle name="Normal 76 6 2" xfId="4059"/>
    <cellStyle name="Normal 76 6 2 2" xfId="8573"/>
    <cellStyle name="Normal 76 6 2 2 2" xfId="17614"/>
    <cellStyle name="Normal 76 6 2 3" xfId="13101"/>
    <cellStyle name="Normal 76 6 3" xfId="5812"/>
    <cellStyle name="Normal 76 6 3 2" xfId="14853"/>
    <cellStyle name="Normal 76 6 4" xfId="10340"/>
    <cellStyle name="Normal 76 7" xfId="4036"/>
    <cellStyle name="Normal 76 7 2" xfId="8550"/>
    <cellStyle name="Normal 76 7 2 2" xfId="17591"/>
    <cellStyle name="Normal 76 7 3" xfId="13078"/>
    <cellStyle name="Normal 76 8" xfId="4684"/>
    <cellStyle name="Normal 76 8 2" xfId="13725"/>
    <cellStyle name="Normal 76 9" xfId="9212"/>
    <cellStyle name="Normal 77" xfId="77"/>
    <cellStyle name="Normal 77 2" xfId="173"/>
    <cellStyle name="Normal 77 2 2" xfId="402"/>
    <cellStyle name="Normal 77 2 2 2" xfId="966"/>
    <cellStyle name="Normal 77 2 2 2 2" xfId="2136"/>
    <cellStyle name="Normal 77 2 2 2 2 2" xfId="4064"/>
    <cellStyle name="Normal 77 2 2 2 2 2 2" xfId="8578"/>
    <cellStyle name="Normal 77 2 2 2 2 2 2 2" xfId="17619"/>
    <cellStyle name="Normal 77 2 2 2 2 2 3" xfId="13106"/>
    <cellStyle name="Normal 77 2 2 2 2 3" xfId="6659"/>
    <cellStyle name="Normal 77 2 2 2 2 3 2" xfId="15700"/>
    <cellStyle name="Normal 77 2 2 2 2 4" xfId="11187"/>
    <cellStyle name="Normal 77 2 2 2 3" xfId="4063"/>
    <cellStyle name="Normal 77 2 2 2 3 2" xfId="8577"/>
    <cellStyle name="Normal 77 2 2 2 3 2 2" xfId="17618"/>
    <cellStyle name="Normal 77 2 2 2 3 3" xfId="13105"/>
    <cellStyle name="Normal 77 2 2 2 4" xfId="5531"/>
    <cellStyle name="Normal 77 2 2 2 4 2" xfId="14572"/>
    <cellStyle name="Normal 77 2 2 2 5" xfId="10059"/>
    <cellStyle name="Normal 77 2 2 3" xfId="1572"/>
    <cellStyle name="Normal 77 2 2 3 2" xfId="4065"/>
    <cellStyle name="Normal 77 2 2 3 2 2" xfId="8579"/>
    <cellStyle name="Normal 77 2 2 3 2 2 2" xfId="17620"/>
    <cellStyle name="Normal 77 2 2 3 2 3" xfId="13107"/>
    <cellStyle name="Normal 77 2 2 3 3" xfId="6095"/>
    <cellStyle name="Normal 77 2 2 3 3 2" xfId="15136"/>
    <cellStyle name="Normal 77 2 2 3 4" xfId="10623"/>
    <cellStyle name="Normal 77 2 2 4" xfId="4062"/>
    <cellStyle name="Normal 77 2 2 4 2" xfId="8576"/>
    <cellStyle name="Normal 77 2 2 4 2 2" xfId="17617"/>
    <cellStyle name="Normal 77 2 2 4 3" xfId="13104"/>
    <cellStyle name="Normal 77 2 2 5" xfId="4967"/>
    <cellStyle name="Normal 77 2 2 5 2" xfId="14008"/>
    <cellStyle name="Normal 77 2 2 6" xfId="9495"/>
    <cellStyle name="Normal 77 2 3" xfId="590"/>
    <cellStyle name="Normal 77 2 3 2" xfId="1154"/>
    <cellStyle name="Normal 77 2 3 2 2" xfId="2324"/>
    <cellStyle name="Normal 77 2 3 2 2 2" xfId="4068"/>
    <cellStyle name="Normal 77 2 3 2 2 2 2" xfId="8582"/>
    <cellStyle name="Normal 77 2 3 2 2 2 2 2" xfId="17623"/>
    <cellStyle name="Normal 77 2 3 2 2 2 3" xfId="13110"/>
    <cellStyle name="Normal 77 2 3 2 2 3" xfId="6847"/>
    <cellStyle name="Normal 77 2 3 2 2 3 2" xfId="15888"/>
    <cellStyle name="Normal 77 2 3 2 2 4" xfId="11375"/>
    <cellStyle name="Normal 77 2 3 2 3" xfId="4067"/>
    <cellStyle name="Normal 77 2 3 2 3 2" xfId="8581"/>
    <cellStyle name="Normal 77 2 3 2 3 2 2" xfId="17622"/>
    <cellStyle name="Normal 77 2 3 2 3 3" xfId="13109"/>
    <cellStyle name="Normal 77 2 3 2 4" xfId="5719"/>
    <cellStyle name="Normal 77 2 3 2 4 2" xfId="14760"/>
    <cellStyle name="Normal 77 2 3 2 5" xfId="10247"/>
    <cellStyle name="Normal 77 2 3 3" xfId="1760"/>
    <cellStyle name="Normal 77 2 3 3 2" xfId="4069"/>
    <cellStyle name="Normal 77 2 3 3 2 2" xfId="8583"/>
    <cellStyle name="Normal 77 2 3 3 2 2 2" xfId="17624"/>
    <cellStyle name="Normal 77 2 3 3 2 3" xfId="13111"/>
    <cellStyle name="Normal 77 2 3 3 3" xfId="6283"/>
    <cellStyle name="Normal 77 2 3 3 3 2" xfId="15324"/>
    <cellStyle name="Normal 77 2 3 3 4" xfId="10811"/>
    <cellStyle name="Normal 77 2 3 4" xfId="4066"/>
    <cellStyle name="Normal 77 2 3 4 2" xfId="8580"/>
    <cellStyle name="Normal 77 2 3 4 2 2" xfId="17621"/>
    <cellStyle name="Normal 77 2 3 4 3" xfId="13108"/>
    <cellStyle name="Normal 77 2 3 5" xfId="5155"/>
    <cellStyle name="Normal 77 2 3 5 2" xfId="14196"/>
    <cellStyle name="Normal 77 2 3 6" xfId="9683"/>
    <cellStyle name="Normal 77 2 4" xfId="778"/>
    <cellStyle name="Normal 77 2 4 2" xfId="1948"/>
    <cellStyle name="Normal 77 2 4 2 2" xfId="4071"/>
    <cellStyle name="Normal 77 2 4 2 2 2" xfId="8585"/>
    <cellStyle name="Normal 77 2 4 2 2 2 2" xfId="17626"/>
    <cellStyle name="Normal 77 2 4 2 2 3" xfId="13113"/>
    <cellStyle name="Normal 77 2 4 2 3" xfId="6471"/>
    <cellStyle name="Normal 77 2 4 2 3 2" xfId="15512"/>
    <cellStyle name="Normal 77 2 4 2 4" xfId="10999"/>
    <cellStyle name="Normal 77 2 4 3" xfId="4070"/>
    <cellStyle name="Normal 77 2 4 3 2" xfId="8584"/>
    <cellStyle name="Normal 77 2 4 3 2 2" xfId="17625"/>
    <cellStyle name="Normal 77 2 4 3 3" xfId="13112"/>
    <cellStyle name="Normal 77 2 4 4" xfId="5343"/>
    <cellStyle name="Normal 77 2 4 4 2" xfId="14384"/>
    <cellStyle name="Normal 77 2 4 5" xfId="9871"/>
    <cellStyle name="Normal 77 2 5" xfId="1384"/>
    <cellStyle name="Normal 77 2 5 2" xfId="4072"/>
    <cellStyle name="Normal 77 2 5 2 2" xfId="8586"/>
    <cellStyle name="Normal 77 2 5 2 2 2" xfId="17627"/>
    <cellStyle name="Normal 77 2 5 2 3" xfId="13114"/>
    <cellStyle name="Normal 77 2 5 3" xfId="5907"/>
    <cellStyle name="Normal 77 2 5 3 2" xfId="14948"/>
    <cellStyle name="Normal 77 2 5 4" xfId="10435"/>
    <cellStyle name="Normal 77 2 6" xfId="4061"/>
    <cellStyle name="Normal 77 2 6 2" xfId="8575"/>
    <cellStyle name="Normal 77 2 6 2 2" xfId="17616"/>
    <cellStyle name="Normal 77 2 6 3" xfId="13103"/>
    <cellStyle name="Normal 77 2 7" xfId="4779"/>
    <cellStyle name="Normal 77 2 7 2" xfId="13820"/>
    <cellStyle name="Normal 77 2 8" xfId="9307"/>
    <cellStyle name="Normal 77 3" xfId="308"/>
    <cellStyle name="Normal 77 3 2" xfId="872"/>
    <cellStyle name="Normal 77 3 2 2" xfId="2042"/>
    <cellStyle name="Normal 77 3 2 2 2" xfId="4075"/>
    <cellStyle name="Normal 77 3 2 2 2 2" xfId="8589"/>
    <cellStyle name="Normal 77 3 2 2 2 2 2" xfId="17630"/>
    <cellStyle name="Normal 77 3 2 2 2 3" xfId="13117"/>
    <cellStyle name="Normal 77 3 2 2 3" xfId="6565"/>
    <cellStyle name="Normal 77 3 2 2 3 2" xfId="15606"/>
    <cellStyle name="Normal 77 3 2 2 4" xfId="11093"/>
    <cellStyle name="Normal 77 3 2 3" xfId="4074"/>
    <cellStyle name="Normal 77 3 2 3 2" xfId="8588"/>
    <cellStyle name="Normal 77 3 2 3 2 2" xfId="17629"/>
    <cellStyle name="Normal 77 3 2 3 3" xfId="13116"/>
    <cellStyle name="Normal 77 3 2 4" xfId="5437"/>
    <cellStyle name="Normal 77 3 2 4 2" xfId="14478"/>
    <cellStyle name="Normal 77 3 2 5" xfId="9965"/>
    <cellStyle name="Normal 77 3 3" xfId="1478"/>
    <cellStyle name="Normal 77 3 3 2" xfId="4076"/>
    <cellStyle name="Normal 77 3 3 2 2" xfId="8590"/>
    <cellStyle name="Normal 77 3 3 2 2 2" xfId="17631"/>
    <cellStyle name="Normal 77 3 3 2 3" xfId="13118"/>
    <cellStyle name="Normal 77 3 3 3" xfId="6001"/>
    <cellStyle name="Normal 77 3 3 3 2" xfId="15042"/>
    <cellStyle name="Normal 77 3 3 4" xfId="10529"/>
    <cellStyle name="Normal 77 3 4" xfId="4073"/>
    <cellStyle name="Normal 77 3 4 2" xfId="8587"/>
    <cellStyle name="Normal 77 3 4 2 2" xfId="17628"/>
    <cellStyle name="Normal 77 3 4 3" xfId="13115"/>
    <cellStyle name="Normal 77 3 5" xfId="4873"/>
    <cellStyle name="Normal 77 3 5 2" xfId="13914"/>
    <cellStyle name="Normal 77 3 6" xfId="9401"/>
    <cellStyle name="Normal 77 4" xfId="496"/>
    <cellStyle name="Normal 77 4 2" xfId="1060"/>
    <cellStyle name="Normal 77 4 2 2" xfId="2230"/>
    <cellStyle name="Normal 77 4 2 2 2" xfId="4079"/>
    <cellStyle name="Normal 77 4 2 2 2 2" xfId="8593"/>
    <cellStyle name="Normal 77 4 2 2 2 2 2" xfId="17634"/>
    <cellStyle name="Normal 77 4 2 2 2 3" xfId="13121"/>
    <cellStyle name="Normal 77 4 2 2 3" xfId="6753"/>
    <cellStyle name="Normal 77 4 2 2 3 2" xfId="15794"/>
    <cellStyle name="Normal 77 4 2 2 4" xfId="11281"/>
    <cellStyle name="Normal 77 4 2 3" xfId="4078"/>
    <cellStyle name="Normal 77 4 2 3 2" xfId="8592"/>
    <cellStyle name="Normal 77 4 2 3 2 2" xfId="17633"/>
    <cellStyle name="Normal 77 4 2 3 3" xfId="13120"/>
    <cellStyle name="Normal 77 4 2 4" xfId="5625"/>
    <cellStyle name="Normal 77 4 2 4 2" xfId="14666"/>
    <cellStyle name="Normal 77 4 2 5" xfId="10153"/>
    <cellStyle name="Normal 77 4 3" xfId="1666"/>
    <cellStyle name="Normal 77 4 3 2" xfId="4080"/>
    <cellStyle name="Normal 77 4 3 2 2" xfId="8594"/>
    <cellStyle name="Normal 77 4 3 2 2 2" xfId="17635"/>
    <cellStyle name="Normal 77 4 3 2 3" xfId="13122"/>
    <cellStyle name="Normal 77 4 3 3" xfId="6189"/>
    <cellStyle name="Normal 77 4 3 3 2" xfId="15230"/>
    <cellStyle name="Normal 77 4 3 4" xfId="10717"/>
    <cellStyle name="Normal 77 4 4" xfId="4077"/>
    <cellStyle name="Normal 77 4 4 2" xfId="8591"/>
    <cellStyle name="Normal 77 4 4 2 2" xfId="17632"/>
    <cellStyle name="Normal 77 4 4 3" xfId="13119"/>
    <cellStyle name="Normal 77 4 5" xfId="5061"/>
    <cellStyle name="Normal 77 4 5 2" xfId="14102"/>
    <cellStyle name="Normal 77 4 6" xfId="9589"/>
    <cellStyle name="Normal 77 5" xfId="684"/>
    <cellStyle name="Normal 77 5 2" xfId="1854"/>
    <cellStyle name="Normal 77 5 2 2" xfId="4082"/>
    <cellStyle name="Normal 77 5 2 2 2" xfId="8596"/>
    <cellStyle name="Normal 77 5 2 2 2 2" xfId="17637"/>
    <cellStyle name="Normal 77 5 2 2 3" xfId="13124"/>
    <cellStyle name="Normal 77 5 2 3" xfId="6377"/>
    <cellStyle name="Normal 77 5 2 3 2" xfId="15418"/>
    <cellStyle name="Normal 77 5 2 4" xfId="10905"/>
    <cellStyle name="Normal 77 5 3" xfId="4081"/>
    <cellStyle name="Normal 77 5 3 2" xfId="8595"/>
    <cellStyle name="Normal 77 5 3 2 2" xfId="17636"/>
    <cellStyle name="Normal 77 5 3 3" xfId="13123"/>
    <cellStyle name="Normal 77 5 4" xfId="5249"/>
    <cellStyle name="Normal 77 5 4 2" xfId="14290"/>
    <cellStyle name="Normal 77 5 5" xfId="9777"/>
    <cellStyle name="Normal 77 6" xfId="1290"/>
    <cellStyle name="Normal 77 6 2" xfId="4083"/>
    <cellStyle name="Normal 77 6 2 2" xfId="8597"/>
    <cellStyle name="Normal 77 6 2 2 2" xfId="17638"/>
    <cellStyle name="Normal 77 6 2 3" xfId="13125"/>
    <cellStyle name="Normal 77 6 3" xfId="5813"/>
    <cellStyle name="Normal 77 6 3 2" xfId="14854"/>
    <cellStyle name="Normal 77 6 4" xfId="10341"/>
    <cellStyle name="Normal 77 7" xfId="4060"/>
    <cellStyle name="Normal 77 7 2" xfId="8574"/>
    <cellStyle name="Normal 77 7 2 2" xfId="17615"/>
    <cellStyle name="Normal 77 7 3" xfId="13102"/>
    <cellStyle name="Normal 77 8" xfId="4685"/>
    <cellStyle name="Normal 77 8 2" xfId="13726"/>
    <cellStyle name="Normal 77 9" xfId="9213"/>
    <cellStyle name="Normal 78" xfId="78"/>
    <cellStyle name="Normal 78 2" xfId="174"/>
    <cellStyle name="Normal 78 2 2" xfId="403"/>
    <cellStyle name="Normal 78 2 2 2" xfId="967"/>
    <cellStyle name="Normal 78 2 2 2 2" xfId="2137"/>
    <cellStyle name="Normal 78 2 2 2 2 2" xfId="4088"/>
    <cellStyle name="Normal 78 2 2 2 2 2 2" xfId="8602"/>
    <cellStyle name="Normal 78 2 2 2 2 2 2 2" xfId="17643"/>
    <cellStyle name="Normal 78 2 2 2 2 2 3" xfId="13130"/>
    <cellStyle name="Normal 78 2 2 2 2 3" xfId="6660"/>
    <cellStyle name="Normal 78 2 2 2 2 3 2" xfId="15701"/>
    <cellStyle name="Normal 78 2 2 2 2 4" xfId="11188"/>
    <cellStyle name="Normal 78 2 2 2 3" xfId="4087"/>
    <cellStyle name="Normal 78 2 2 2 3 2" xfId="8601"/>
    <cellStyle name="Normal 78 2 2 2 3 2 2" xfId="17642"/>
    <cellStyle name="Normal 78 2 2 2 3 3" xfId="13129"/>
    <cellStyle name="Normal 78 2 2 2 4" xfId="5532"/>
    <cellStyle name="Normal 78 2 2 2 4 2" xfId="14573"/>
    <cellStyle name="Normal 78 2 2 2 5" xfId="10060"/>
    <cellStyle name="Normal 78 2 2 3" xfId="1573"/>
    <cellStyle name="Normal 78 2 2 3 2" xfId="4089"/>
    <cellStyle name="Normal 78 2 2 3 2 2" xfId="8603"/>
    <cellStyle name="Normal 78 2 2 3 2 2 2" xfId="17644"/>
    <cellStyle name="Normal 78 2 2 3 2 3" xfId="13131"/>
    <cellStyle name="Normal 78 2 2 3 3" xfId="6096"/>
    <cellStyle name="Normal 78 2 2 3 3 2" xfId="15137"/>
    <cellStyle name="Normal 78 2 2 3 4" xfId="10624"/>
    <cellStyle name="Normal 78 2 2 4" xfId="4086"/>
    <cellStyle name="Normal 78 2 2 4 2" xfId="8600"/>
    <cellStyle name="Normal 78 2 2 4 2 2" xfId="17641"/>
    <cellStyle name="Normal 78 2 2 4 3" xfId="13128"/>
    <cellStyle name="Normal 78 2 2 5" xfId="4968"/>
    <cellStyle name="Normal 78 2 2 5 2" xfId="14009"/>
    <cellStyle name="Normal 78 2 2 6" xfId="9496"/>
    <cellStyle name="Normal 78 2 3" xfId="591"/>
    <cellStyle name="Normal 78 2 3 2" xfId="1155"/>
    <cellStyle name="Normal 78 2 3 2 2" xfId="2325"/>
    <cellStyle name="Normal 78 2 3 2 2 2" xfId="4092"/>
    <cellStyle name="Normal 78 2 3 2 2 2 2" xfId="8606"/>
    <cellStyle name="Normal 78 2 3 2 2 2 2 2" xfId="17647"/>
    <cellStyle name="Normal 78 2 3 2 2 2 3" xfId="13134"/>
    <cellStyle name="Normal 78 2 3 2 2 3" xfId="6848"/>
    <cellStyle name="Normal 78 2 3 2 2 3 2" xfId="15889"/>
    <cellStyle name="Normal 78 2 3 2 2 4" xfId="11376"/>
    <cellStyle name="Normal 78 2 3 2 3" xfId="4091"/>
    <cellStyle name="Normal 78 2 3 2 3 2" xfId="8605"/>
    <cellStyle name="Normal 78 2 3 2 3 2 2" xfId="17646"/>
    <cellStyle name="Normal 78 2 3 2 3 3" xfId="13133"/>
    <cellStyle name="Normal 78 2 3 2 4" xfId="5720"/>
    <cellStyle name="Normal 78 2 3 2 4 2" xfId="14761"/>
    <cellStyle name="Normal 78 2 3 2 5" xfId="10248"/>
    <cellStyle name="Normal 78 2 3 3" xfId="1761"/>
    <cellStyle name="Normal 78 2 3 3 2" xfId="4093"/>
    <cellStyle name="Normal 78 2 3 3 2 2" xfId="8607"/>
    <cellStyle name="Normal 78 2 3 3 2 2 2" xfId="17648"/>
    <cellStyle name="Normal 78 2 3 3 2 3" xfId="13135"/>
    <cellStyle name="Normal 78 2 3 3 3" xfId="6284"/>
    <cellStyle name="Normal 78 2 3 3 3 2" xfId="15325"/>
    <cellStyle name="Normal 78 2 3 3 4" xfId="10812"/>
    <cellStyle name="Normal 78 2 3 4" xfId="4090"/>
    <cellStyle name="Normal 78 2 3 4 2" xfId="8604"/>
    <cellStyle name="Normal 78 2 3 4 2 2" xfId="17645"/>
    <cellStyle name="Normal 78 2 3 4 3" xfId="13132"/>
    <cellStyle name="Normal 78 2 3 5" xfId="5156"/>
    <cellStyle name="Normal 78 2 3 5 2" xfId="14197"/>
    <cellStyle name="Normal 78 2 3 6" xfId="9684"/>
    <cellStyle name="Normal 78 2 4" xfId="779"/>
    <cellStyle name="Normal 78 2 4 2" xfId="1949"/>
    <cellStyle name="Normal 78 2 4 2 2" xfId="4095"/>
    <cellStyle name="Normal 78 2 4 2 2 2" xfId="8609"/>
    <cellStyle name="Normal 78 2 4 2 2 2 2" xfId="17650"/>
    <cellStyle name="Normal 78 2 4 2 2 3" xfId="13137"/>
    <cellStyle name="Normal 78 2 4 2 3" xfId="6472"/>
    <cellStyle name="Normal 78 2 4 2 3 2" xfId="15513"/>
    <cellStyle name="Normal 78 2 4 2 4" xfId="11000"/>
    <cellStyle name="Normal 78 2 4 3" xfId="4094"/>
    <cellStyle name="Normal 78 2 4 3 2" xfId="8608"/>
    <cellStyle name="Normal 78 2 4 3 2 2" xfId="17649"/>
    <cellStyle name="Normal 78 2 4 3 3" xfId="13136"/>
    <cellStyle name="Normal 78 2 4 4" xfId="5344"/>
    <cellStyle name="Normal 78 2 4 4 2" xfId="14385"/>
    <cellStyle name="Normal 78 2 4 5" xfId="9872"/>
    <cellStyle name="Normal 78 2 5" xfId="1385"/>
    <cellStyle name="Normal 78 2 5 2" xfId="4096"/>
    <cellStyle name="Normal 78 2 5 2 2" xfId="8610"/>
    <cellStyle name="Normal 78 2 5 2 2 2" xfId="17651"/>
    <cellStyle name="Normal 78 2 5 2 3" xfId="13138"/>
    <cellStyle name="Normal 78 2 5 3" xfId="5908"/>
    <cellStyle name="Normal 78 2 5 3 2" xfId="14949"/>
    <cellStyle name="Normal 78 2 5 4" xfId="10436"/>
    <cellStyle name="Normal 78 2 6" xfId="4085"/>
    <cellStyle name="Normal 78 2 6 2" xfId="8599"/>
    <cellStyle name="Normal 78 2 6 2 2" xfId="17640"/>
    <cellStyle name="Normal 78 2 6 3" xfId="13127"/>
    <cellStyle name="Normal 78 2 7" xfId="4780"/>
    <cellStyle name="Normal 78 2 7 2" xfId="13821"/>
    <cellStyle name="Normal 78 2 8" xfId="9308"/>
    <cellStyle name="Normal 78 3" xfId="309"/>
    <cellStyle name="Normal 78 3 2" xfId="873"/>
    <cellStyle name="Normal 78 3 2 2" xfId="2043"/>
    <cellStyle name="Normal 78 3 2 2 2" xfId="4099"/>
    <cellStyle name="Normal 78 3 2 2 2 2" xfId="8613"/>
    <cellStyle name="Normal 78 3 2 2 2 2 2" xfId="17654"/>
    <cellStyle name="Normal 78 3 2 2 2 3" xfId="13141"/>
    <cellStyle name="Normal 78 3 2 2 3" xfId="6566"/>
    <cellStyle name="Normal 78 3 2 2 3 2" xfId="15607"/>
    <cellStyle name="Normal 78 3 2 2 4" xfId="11094"/>
    <cellStyle name="Normal 78 3 2 3" xfId="4098"/>
    <cellStyle name="Normal 78 3 2 3 2" xfId="8612"/>
    <cellStyle name="Normal 78 3 2 3 2 2" xfId="17653"/>
    <cellStyle name="Normal 78 3 2 3 3" xfId="13140"/>
    <cellStyle name="Normal 78 3 2 4" xfId="5438"/>
    <cellStyle name="Normal 78 3 2 4 2" xfId="14479"/>
    <cellStyle name="Normal 78 3 2 5" xfId="9966"/>
    <cellStyle name="Normal 78 3 3" xfId="1479"/>
    <cellStyle name="Normal 78 3 3 2" xfId="4100"/>
    <cellStyle name="Normal 78 3 3 2 2" xfId="8614"/>
    <cellStyle name="Normal 78 3 3 2 2 2" xfId="17655"/>
    <cellStyle name="Normal 78 3 3 2 3" xfId="13142"/>
    <cellStyle name="Normal 78 3 3 3" xfId="6002"/>
    <cellStyle name="Normal 78 3 3 3 2" xfId="15043"/>
    <cellStyle name="Normal 78 3 3 4" xfId="10530"/>
    <cellStyle name="Normal 78 3 4" xfId="4097"/>
    <cellStyle name="Normal 78 3 4 2" xfId="8611"/>
    <cellStyle name="Normal 78 3 4 2 2" xfId="17652"/>
    <cellStyle name="Normal 78 3 4 3" xfId="13139"/>
    <cellStyle name="Normal 78 3 5" xfId="4874"/>
    <cellStyle name="Normal 78 3 5 2" xfId="13915"/>
    <cellStyle name="Normal 78 3 6" xfId="9402"/>
    <cellStyle name="Normal 78 4" xfId="497"/>
    <cellStyle name="Normal 78 4 2" xfId="1061"/>
    <cellStyle name="Normal 78 4 2 2" xfId="2231"/>
    <cellStyle name="Normal 78 4 2 2 2" xfId="4103"/>
    <cellStyle name="Normal 78 4 2 2 2 2" xfId="8617"/>
    <cellStyle name="Normal 78 4 2 2 2 2 2" xfId="17658"/>
    <cellStyle name="Normal 78 4 2 2 2 3" xfId="13145"/>
    <cellStyle name="Normal 78 4 2 2 3" xfId="6754"/>
    <cellStyle name="Normal 78 4 2 2 3 2" xfId="15795"/>
    <cellStyle name="Normal 78 4 2 2 4" xfId="11282"/>
    <cellStyle name="Normal 78 4 2 3" xfId="4102"/>
    <cellStyle name="Normal 78 4 2 3 2" xfId="8616"/>
    <cellStyle name="Normal 78 4 2 3 2 2" xfId="17657"/>
    <cellStyle name="Normal 78 4 2 3 3" xfId="13144"/>
    <cellStyle name="Normal 78 4 2 4" xfId="5626"/>
    <cellStyle name="Normal 78 4 2 4 2" xfId="14667"/>
    <cellStyle name="Normal 78 4 2 5" xfId="10154"/>
    <cellStyle name="Normal 78 4 3" xfId="1667"/>
    <cellStyle name="Normal 78 4 3 2" xfId="4104"/>
    <cellStyle name="Normal 78 4 3 2 2" xfId="8618"/>
    <cellStyle name="Normal 78 4 3 2 2 2" xfId="17659"/>
    <cellStyle name="Normal 78 4 3 2 3" xfId="13146"/>
    <cellStyle name="Normal 78 4 3 3" xfId="6190"/>
    <cellStyle name="Normal 78 4 3 3 2" xfId="15231"/>
    <cellStyle name="Normal 78 4 3 4" xfId="10718"/>
    <cellStyle name="Normal 78 4 4" xfId="4101"/>
    <cellStyle name="Normal 78 4 4 2" xfId="8615"/>
    <cellStyle name="Normal 78 4 4 2 2" xfId="17656"/>
    <cellStyle name="Normal 78 4 4 3" xfId="13143"/>
    <cellStyle name="Normal 78 4 5" xfId="5062"/>
    <cellStyle name="Normal 78 4 5 2" xfId="14103"/>
    <cellStyle name="Normal 78 4 6" xfId="9590"/>
    <cellStyle name="Normal 78 5" xfId="685"/>
    <cellStyle name="Normal 78 5 2" xfId="1855"/>
    <cellStyle name="Normal 78 5 2 2" xfId="4106"/>
    <cellStyle name="Normal 78 5 2 2 2" xfId="8620"/>
    <cellStyle name="Normal 78 5 2 2 2 2" xfId="17661"/>
    <cellStyle name="Normal 78 5 2 2 3" xfId="13148"/>
    <cellStyle name="Normal 78 5 2 3" xfId="6378"/>
    <cellStyle name="Normal 78 5 2 3 2" xfId="15419"/>
    <cellStyle name="Normal 78 5 2 4" xfId="10906"/>
    <cellStyle name="Normal 78 5 3" xfId="4105"/>
    <cellStyle name="Normal 78 5 3 2" xfId="8619"/>
    <cellStyle name="Normal 78 5 3 2 2" xfId="17660"/>
    <cellStyle name="Normal 78 5 3 3" xfId="13147"/>
    <cellStyle name="Normal 78 5 4" xfId="5250"/>
    <cellStyle name="Normal 78 5 4 2" xfId="14291"/>
    <cellStyle name="Normal 78 5 5" xfId="9778"/>
    <cellStyle name="Normal 78 6" xfId="1291"/>
    <cellStyle name="Normal 78 6 2" xfId="4107"/>
    <cellStyle name="Normal 78 6 2 2" xfId="8621"/>
    <cellStyle name="Normal 78 6 2 2 2" xfId="17662"/>
    <cellStyle name="Normal 78 6 2 3" xfId="13149"/>
    <cellStyle name="Normal 78 6 3" xfId="5814"/>
    <cellStyle name="Normal 78 6 3 2" xfId="14855"/>
    <cellStyle name="Normal 78 6 4" xfId="10342"/>
    <cellStyle name="Normal 78 7" xfId="4084"/>
    <cellStyle name="Normal 78 7 2" xfId="8598"/>
    <cellStyle name="Normal 78 7 2 2" xfId="17639"/>
    <cellStyle name="Normal 78 7 3" xfId="13126"/>
    <cellStyle name="Normal 78 8" xfId="4686"/>
    <cellStyle name="Normal 78 8 2" xfId="13727"/>
    <cellStyle name="Normal 78 9" xfId="9214"/>
    <cellStyle name="Normal 79" xfId="79"/>
    <cellStyle name="Normal 79 2" xfId="175"/>
    <cellStyle name="Normal 79 2 2" xfId="404"/>
    <cellStyle name="Normal 79 2 2 2" xfId="968"/>
    <cellStyle name="Normal 79 2 2 2 2" xfId="2138"/>
    <cellStyle name="Normal 79 2 2 2 2 2" xfId="4112"/>
    <cellStyle name="Normal 79 2 2 2 2 2 2" xfId="8626"/>
    <cellStyle name="Normal 79 2 2 2 2 2 2 2" xfId="17667"/>
    <cellStyle name="Normal 79 2 2 2 2 2 3" xfId="13154"/>
    <cellStyle name="Normal 79 2 2 2 2 3" xfId="6661"/>
    <cellStyle name="Normal 79 2 2 2 2 3 2" xfId="15702"/>
    <cellStyle name="Normal 79 2 2 2 2 4" xfId="11189"/>
    <cellStyle name="Normal 79 2 2 2 3" xfId="4111"/>
    <cellStyle name="Normal 79 2 2 2 3 2" xfId="8625"/>
    <cellStyle name="Normal 79 2 2 2 3 2 2" xfId="17666"/>
    <cellStyle name="Normal 79 2 2 2 3 3" xfId="13153"/>
    <cellStyle name="Normal 79 2 2 2 4" xfId="5533"/>
    <cellStyle name="Normal 79 2 2 2 4 2" xfId="14574"/>
    <cellStyle name="Normal 79 2 2 2 5" xfId="10061"/>
    <cellStyle name="Normal 79 2 2 3" xfId="1574"/>
    <cellStyle name="Normal 79 2 2 3 2" xfId="4113"/>
    <cellStyle name="Normal 79 2 2 3 2 2" xfId="8627"/>
    <cellStyle name="Normal 79 2 2 3 2 2 2" xfId="17668"/>
    <cellStyle name="Normal 79 2 2 3 2 3" xfId="13155"/>
    <cellStyle name="Normal 79 2 2 3 3" xfId="6097"/>
    <cellStyle name="Normal 79 2 2 3 3 2" xfId="15138"/>
    <cellStyle name="Normal 79 2 2 3 4" xfId="10625"/>
    <cellStyle name="Normal 79 2 2 4" xfId="4110"/>
    <cellStyle name="Normal 79 2 2 4 2" xfId="8624"/>
    <cellStyle name="Normal 79 2 2 4 2 2" xfId="17665"/>
    <cellStyle name="Normal 79 2 2 4 3" xfId="13152"/>
    <cellStyle name="Normal 79 2 2 5" xfId="4969"/>
    <cellStyle name="Normal 79 2 2 5 2" xfId="14010"/>
    <cellStyle name="Normal 79 2 2 6" xfId="9497"/>
    <cellStyle name="Normal 79 2 3" xfId="592"/>
    <cellStyle name="Normal 79 2 3 2" xfId="1156"/>
    <cellStyle name="Normal 79 2 3 2 2" xfId="2326"/>
    <cellStyle name="Normal 79 2 3 2 2 2" xfId="4116"/>
    <cellStyle name="Normal 79 2 3 2 2 2 2" xfId="8630"/>
    <cellStyle name="Normal 79 2 3 2 2 2 2 2" xfId="17671"/>
    <cellStyle name="Normal 79 2 3 2 2 2 3" xfId="13158"/>
    <cellStyle name="Normal 79 2 3 2 2 3" xfId="6849"/>
    <cellStyle name="Normal 79 2 3 2 2 3 2" xfId="15890"/>
    <cellStyle name="Normal 79 2 3 2 2 4" xfId="11377"/>
    <cellStyle name="Normal 79 2 3 2 3" xfId="4115"/>
    <cellStyle name="Normal 79 2 3 2 3 2" xfId="8629"/>
    <cellStyle name="Normal 79 2 3 2 3 2 2" xfId="17670"/>
    <cellStyle name="Normal 79 2 3 2 3 3" xfId="13157"/>
    <cellStyle name="Normal 79 2 3 2 4" xfId="5721"/>
    <cellStyle name="Normal 79 2 3 2 4 2" xfId="14762"/>
    <cellStyle name="Normal 79 2 3 2 5" xfId="10249"/>
    <cellStyle name="Normal 79 2 3 3" xfId="1762"/>
    <cellStyle name="Normal 79 2 3 3 2" xfId="4117"/>
    <cellStyle name="Normal 79 2 3 3 2 2" xfId="8631"/>
    <cellStyle name="Normal 79 2 3 3 2 2 2" xfId="17672"/>
    <cellStyle name="Normal 79 2 3 3 2 3" xfId="13159"/>
    <cellStyle name="Normal 79 2 3 3 3" xfId="6285"/>
    <cellStyle name="Normal 79 2 3 3 3 2" xfId="15326"/>
    <cellStyle name="Normal 79 2 3 3 4" xfId="10813"/>
    <cellStyle name="Normal 79 2 3 4" xfId="4114"/>
    <cellStyle name="Normal 79 2 3 4 2" xfId="8628"/>
    <cellStyle name="Normal 79 2 3 4 2 2" xfId="17669"/>
    <cellStyle name="Normal 79 2 3 4 3" xfId="13156"/>
    <cellStyle name="Normal 79 2 3 5" xfId="5157"/>
    <cellStyle name="Normal 79 2 3 5 2" xfId="14198"/>
    <cellStyle name="Normal 79 2 3 6" xfId="9685"/>
    <cellStyle name="Normal 79 2 4" xfId="780"/>
    <cellStyle name="Normal 79 2 4 2" xfId="1950"/>
    <cellStyle name="Normal 79 2 4 2 2" xfId="4119"/>
    <cellStyle name="Normal 79 2 4 2 2 2" xfId="8633"/>
    <cellStyle name="Normal 79 2 4 2 2 2 2" xfId="17674"/>
    <cellStyle name="Normal 79 2 4 2 2 3" xfId="13161"/>
    <cellStyle name="Normal 79 2 4 2 3" xfId="6473"/>
    <cellStyle name="Normal 79 2 4 2 3 2" xfId="15514"/>
    <cellStyle name="Normal 79 2 4 2 4" xfId="11001"/>
    <cellStyle name="Normal 79 2 4 3" xfId="4118"/>
    <cellStyle name="Normal 79 2 4 3 2" xfId="8632"/>
    <cellStyle name="Normal 79 2 4 3 2 2" xfId="17673"/>
    <cellStyle name="Normal 79 2 4 3 3" xfId="13160"/>
    <cellStyle name="Normal 79 2 4 4" xfId="5345"/>
    <cellStyle name="Normal 79 2 4 4 2" xfId="14386"/>
    <cellStyle name="Normal 79 2 4 5" xfId="9873"/>
    <cellStyle name="Normal 79 2 5" xfId="1386"/>
    <cellStyle name="Normal 79 2 5 2" xfId="4120"/>
    <cellStyle name="Normal 79 2 5 2 2" xfId="8634"/>
    <cellStyle name="Normal 79 2 5 2 2 2" xfId="17675"/>
    <cellStyle name="Normal 79 2 5 2 3" xfId="13162"/>
    <cellStyle name="Normal 79 2 5 3" xfId="5909"/>
    <cellStyle name="Normal 79 2 5 3 2" xfId="14950"/>
    <cellStyle name="Normal 79 2 5 4" xfId="10437"/>
    <cellStyle name="Normal 79 2 6" xfId="4109"/>
    <cellStyle name="Normal 79 2 6 2" xfId="8623"/>
    <cellStyle name="Normal 79 2 6 2 2" xfId="17664"/>
    <cellStyle name="Normal 79 2 6 3" xfId="13151"/>
    <cellStyle name="Normal 79 2 7" xfId="4781"/>
    <cellStyle name="Normal 79 2 7 2" xfId="13822"/>
    <cellStyle name="Normal 79 2 8" xfId="9309"/>
    <cellStyle name="Normal 79 3" xfId="310"/>
    <cellStyle name="Normal 79 3 2" xfId="874"/>
    <cellStyle name="Normal 79 3 2 2" xfId="2044"/>
    <cellStyle name="Normal 79 3 2 2 2" xfId="4123"/>
    <cellStyle name="Normal 79 3 2 2 2 2" xfId="8637"/>
    <cellStyle name="Normal 79 3 2 2 2 2 2" xfId="17678"/>
    <cellStyle name="Normal 79 3 2 2 2 3" xfId="13165"/>
    <cellStyle name="Normal 79 3 2 2 3" xfId="6567"/>
    <cellStyle name="Normal 79 3 2 2 3 2" xfId="15608"/>
    <cellStyle name="Normal 79 3 2 2 4" xfId="11095"/>
    <cellStyle name="Normal 79 3 2 3" xfId="4122"/>
    <cellStyle name="Normal 79 3 2 3 2" xfId="8636"/>
    <cellStyle name="Normal 79 3 2 3 2 2" xfId="17677"/>
    <cellStyle name="Normal 79 3 2 3 3" xfId="13164"/>
    <cellStyle name="Normal 79 3 2 4" xfId="5439"/>
    <cellStyle name="Normal 79 3 2 4 2" xfId="14480"/>
    <cellStyle name="Normal 79 3 2 5" xfId="9967"/>
    <cellStyle name="Normal 79 3 3" xfId="1480"/>
    <cellStyle name="Normal 79 3 3 2" xfId="4124"/>
    <cellStyle name="Normal 79 3 3 2 2" xfId="8638"/>
    <cellStyle name="Normal 79 3 3 2 2 2" xfId="17679"/>
    <cellStyle name="Normal 79 3 3 2 3" xfId="13166"/>
    <cellStyle name="Normal 79 3 3 3" xfId="6003"/>
    <cellStyle name="Normal 79 3 3 3 2" xfId="15044"/>
    <cellStyle name="Normal 79 3 3 4" xfId="10531"/>
    <cellStyle name="Normal 79 3 4" xfId="4121"/>
    <cellStyle name="Normal 79 3 4 2" xfId="8635"/>
    <cellStyle name="Normal 79 3 4 2 2" xfId="17676"/>
    <cellStyle name="Normal 79 3 4 3" xfId="13163"/>
    <cellStyle name="Normal 79 3 5" xfId="4875"/>
    <cellStyle name="Normal 79 3 5 2" xfId="13916"/>
    <cellStyle name="Normal 79 3 6" xfId="9403"/>
    <cellStyle name="Normal 79 4" xfId="498"/>
    <cellStyle name="Normal 79 4 2" xfId="1062"/>
    <cellStyle name="Normal 79 4 2 2" xfId="2232"/>
    <cellStyle name="Normal 79 4 2 2 2" xfId="4127"/>
    <cellStyle name="Normal 79 4 2 2 2 2" xfId="8641"/>
    <cellStyle name="Normal 79 4 2 2 2 2 2" xfId="17682"/>
    <cellStyle name="Normal 79 4 2 2 2 3" xfId="13169"/>
    <cellStyle name="Normal 79 4 2 2 3" xfId="6755"/>
    <cellStyle name="Normal 79 4 2 2 3 2" xfId="15796"/>
    <cellStyle name="Normal 79 4 2 2 4" xfId="11283"/>
    <cellStyle name="Normal 79 4 2 3" xfId="4126"/>
    <cellStyle name="Normal 79 4 2 3 2" xfId="8640"/>
    <cellStyle name="Normal 79 4 2 3 2 2" xfId="17681"/>
    <cellStyle name="Normal 79 4 2 3 3" xfId="13168"/>
    <cellStyle name="Normal 79 4 2 4" xfId="5627"/>
    <cellStyle name="Normal 79 4 2 4 2" xfId="14668"/>
    <cellStyle name="Normal 79 4 2 5" xfId="10155"/>
    <cellStyle name="Normal 79 4 3" xfId="1668"/>
    <cellStyle name="Normal 79 4 3 2" xfId="4128"/>
    <cellStyle name="Normal 79 4 3 2 2" xfId="8642"/>
    <cellStyle name="Normal 79 4 3 2 2 2" xfId="17683"/>
    <cellStyle name="Normal 79 4 3 2 3" xfId="13170"/>
    <cellStyle name="Normal 79 4 3 3" xfId="6191"/>
    <cellStyle name="Normal 79 4 3 3 2" xfId="15232"/>
    <cellStyle name="Normal 79 4 3 4" xfId="10719"/>
    <cellStyle name="Normal 79 4 4" xfId="4125"/>
    <cellStyle name="Normal 79 4 4 2" xfId="8639"/>
    <cellStyle name="Normal 79 4 4 2 2" xfId="17680"/>
    <cellStyle name="Normal 79 4 4 3" xfId="13167"/>
    <cellStyle name="Normal 79 4 5" xfId="5063"/>
    <cellStyle name="Normal 79 4 5 2" xfId="14104"/>
    <cellStyle name="Normal 79 4 6" xfId="9591"/>
    <cellStyle name="Normal 79 5" xfId="686"/>
    <cellStyle name="Normal 79 5 2" xfId="1856"/>
    <cellStyle name="Normal 79 5 2 2" xfId="4130"/>
    <cellStyle name="Normal 79 5 2 2 2" xfId="8644"/>
    <cellStyle name="Normal 79 5 2 2 2 2" xfId="17685"/>
    <cellStyle name="Normal 79 5 2 2 3" xfId="13172"/>
    <cellStyle name="Normal 79 5 2 3" xfId="6379"/>
    <cellStyle name="Normal 79 5 2 3 2" xfId="15420"/>
    <cellStyle name="Normal 79 5 2 4" xfId="10907"/>
    <cellStyle name="Normal 79 5 3" xfId="4129"/>
    <cellStyle name="Normal 79 5 3 2" xfId="8643"/>
    <cellStyle name="Normal 79 5 3 2 2" xfId="17684"/>
    <cellStyle name="Normal 79 5 3 3" xfId="13171"/>
    <cellStyle name="Normal 79 5 4" xfId="5251"/>
    <cellStyle name="Normal 79 5 4 2" xfId="14292"/>
    <cellStyle name="Normal 79 5 5" xfId="9779"/>
    <cellStyle name="Normal 79 6" xfId="1292"/>
    <cellStyle name="Normal 79 6 2" xfId="4131"/>
    <cellStyle name="Normal 79 6 2 2" xfId="8645"/>
    <cellStyle name="Normal 79 6 2 2 2" xfId="17686"/>
    <cellStyle name="Normal 79 6 2 3" xfId="13173"/>
    <cellStyle name="Normal 79 6 3" xfId="5815"/>
    <cellStyle name="Normal 79 6 3 2" xfId="14856"/>
    <cellStyle name="Normal 79 6 4" xfId="10343"/>
    <cellStyle name="Normal 79 7" xfId="4108"/>
    <cellStyle name="Normal 79 7 2" xfId="8622"/>
    <cellStyle name="Normal 79 7 2 2" xfId="17663"/>
    <cellStyle name="Normal 79 7 3" xfId="13150"/>
    <cellStyle name="Normal 79 8" xfId="4687"/>
    <cellStyle name="Normal 79 8 2" xfId="13728"/>
    <cellStyle name="Normal 79 9" xfId="9215"/>
    <cellStyle name="Normal 8" xfId="2347"/>
    <cellStyle name="Normal 8 2" xfId="9133"/>
    <cellStyle name="Normal 80" xfId="80"/>
    <cellStyle name="Normal 80 2" xfId="176"/>
    <cellStyle name="Normal 80 2 2" xfId="405"/>
    <cellStyle name="Normal 80 2 2 2" xfId="969"/>
    <cellStyle name="Normal 80 2 2 2 2" xfId="2139"/>
    <cellStyle name="Normal 80 2 2 2 2 2" xfId="4136"/>
    <cellStyle name="Normal 80 2 2 2 2 2 2" xfId="8650"/>
    <cellStyle name="Normal 80 2 2 2 2 2 2 2" xfId="17691"/>
    <cellStyle name="Normal 80 2 2 2 2 2 3" xfId="13178"/>
    <cellStyle name="Normal 80 2 2 2 2 3" xfId="6662"/>
    <cellStyle name="Normal 80 2 2 2 2 3 2" xfId="15703"/>
    <cellStyle name="Normal 80 2 2 2 2 4" xfId="11190"/>
    <cellStyle name="Normal 80 2 2 2 3" xfId="4135"/>
    <cellStyle name="Normal 80 2 2 2 3 2" xfId="8649"/>
    <cellStyle name="Normal 80 2 2 2 3 2 2" xfId="17690"/>
    <cellStyle name="Normal 80 2 2 2 3 3" xfId="13177"/>
    <cellStyle name="Normal 80 2 2 2 4" xfId="5534"/>
    <cellStyle name="Normal 80 2 2 2 4 2" xfId="14575"/>
    <cellStyle name="Normal 80 2 2 2 5" xfId="10062"/>
    <cellStyle name="Normal 80 2 2 3" xfId="1575"/>
    <cellStyle name="Normal 80 2 2 3 2" xfId="4137"/>
    <cellStyle name="Normal 80 2 2 3 2 2" xfId="8651"/>
    <cellStyle name="Normal 80 2 2 3 2 2 2" xfId="17692"/>
    <cellStyle name="Normal 80 2 2 3 2 3" xfId="13179"/>
    <cellStyle name="Normal 80 2 2 3 3" xfId="6098"/>
    <cellStyle name="Normal 80 2 2 3 3 2" xfId="15139"/>
    <cellStyle name="Normal 80 2 2 3 4" xfId="10626"/>
    <cellStyle name="Normal 80 2 2 4" xfId="4134"/>
    <cellStyle name="Normal 80 2 2 4 2" xfId="8648"/>
    <cellStyle name="Normal 80 2 2 4 2 2" xfId="17689"/>
    <cellStyle name="Normal 80 2 2 4 3" xfId="13176"/>
    <cellStyle name="Normal 80 2 2 5" xfId="4970"/>
    <cellStyle name="Normal 80 2 2 5 2" xfId="14011"/>
    <cellStyle name="Normal 80 2 2 6" xfId="9498"/>
    <cellStyle name="Normal 80 2 3" xfId="593"/>
    <cellStyle name="Normal 80 2 3 2" xfId="1157"/>
    <cellStyle name="Normal 80 2 3 2 2" xfId="2327"/>
    <cellStyle name="Normal 80 2 3 2 2 2" xfId="4140"/>
    <cellStyle name="Normal 80 2 3 2 2 2 2" xfId="8654"/>
    <cellStyle name="Normal 80 2 3 2 2 2 2 2" xfId="17695"/>
    <cellStyle name="Normal 80 2 3 2 2 2 3" xfId="13182"/>
    <cellStyle name="Normal 80 2 3 2 2 3" xfId="6850"/>
    <cellStyle name="Normal 80 2 3 2 2 3 2" xfId="15891"/>
    <cellStyle name="Normal 80 2 3 2 2 4" xfId="11378"/>
    <cellStyle name="Normal 80 2 3 2 3" xfId="4139"/>
    <cellStyle name="Normal 80 2 3 2 3 2" xfId="8653"/>
    <cellStyle name="Normal 80 2 3 2 3 2 2" xfId="17694"/>
    <cellStyle name="Normal 80 2 3 2 3 3" xfId="13181"/>
    <cellStyle name="Normal 80 2 3 2 4" xfId="5722"/>
    <cellStyle name="Normal 80 2 3 2 4 2" xfId="14763"/>
    <cellStyle name="Normal 80 2 3 2 5" xfId="10250"/>
    <cellStyle name="Normal 80 2 3 3" xfId="1763"/>
    <cellStyle name="Normal 80 2 3 3 2" xfId="4141"/>
    <cellStyle name="Normal 80 2 3 3 2 2" xfId="8655"/>
    <cellStyle name="Normal 80 2 3 3 2 2 2" xfId="17696"/>
    <cellStyle name="Normal 80 2 3 3 2 3" xfId="13183"/>
    <cellStyle name="Normal 80 2 3 3 3" xfId="6286"/>
    <cellStyle name="Normal 80 2 3 3 3 2" xfId="15327"/>
    <cellStyle name="Normal 80 2 3 3 4" xfId="10814"/>
    <cellStyle name="Normal 80 2 3 4" xfId="4138"/>
    <cellStyle name="Normal 80 2 3 4 2" xfId="8652"/>
    <cellStyle name="Normal 80 2 3 4 2 2" xfId="17693"/>
    <cellStyle name="Normal 80 2 3 4 3" xfId="13180"/>
    <cellStyle name="Normal 80 2 3 5" xfId="5158"/>
    <cellStyle name="Normal 80 2 3 5 2" xfId="14199"/>
    <cellStyle name="Normal 80 2 3 6" xfId="9686"/>
    <cellStyle name="Normal 80 2 4" xfId="781"/>
    <cellStyle name="Normal 80 2 4 2" xfId="1951"/>
    <cellStyle name="Normal 80 2 4 2 2" xfId="4143"/>
    <cellStyle name="Normal 80 2 4 2 2 2" xfId="8657"/>
    <cellStyle name="Normal 80 2 4 2 2 2 2" xfId="17698"/>
    <cellStyle name="Normal 80 2 4 2 2 3" xfId="13185"/>
    <cellStyle name="Normal 80 2 4 2 3" xfId="6474"/>
    <cellStyle name="Normal 80 2 4 2 3 2" xfId="15515"/>
    <cellStyle name="Normal 80 2 4 2 4" xfId="11002"/>
    <cellStyle name="Normal 80 2 4 3" xfId="4142"/>
    <cellStyle name="Normal 80 2 4 3 2" xfId="8656"/>
    <cellStyle name="Normal 80 2 4 3 2 2" xfId="17697"/>
    <cellStyle name="Normal 80 2 4 3 3" xfId="13184"/>
    <cellStyle name="Normal 80 2 4 4" xfId="5346"/>
    <cellStyle name="Normal 80 2 4 4 2" xfId="14387"/>
    <cellStyle name="Normal 80 2 4 5" xfId="9874"/>
    <cellStyle name="Normal 80 2 5" xfId="1387"/>
    <cellStyle name="Normal 80 2 5 2" xfId="4144"/>
    <cellStyle name="Normal 80 2 5 2 2" xfId="8658"/>
    <cellStyle name="Normal 80 2 5 2 2 2" xfId="17699"/>
    <cellStyle name="Normal 80 2 5 2 3" xfId="13186"/>
    <cellStyle name="Normal 80 2 5 3" xfId="5910"/>
    <cellStyle name="Normal 80 2 5 3 2" xfId="14951"/>
    <cellStyle name="Normal 80 2 5 4" xfId="10438"/>
    <cellStyle name="Normal 80 2 6" xfId="4133"/>
    <cellStyle name="Normal 80 2 6 2" xfId="8647"/>
    <cellStyle name="Normal 80 2 6 2 2" xfId="17688"/>
    <cellStyle name="Normal 80 2 6 3" xfId="13175"/>
    <cellStyle name="Normal 80 2 7" xfId="4782"/>
    <cellStyle name="Normal 80 2 7 2" xfId="13823"/>
    <cellStyle name="Normal 80 2 8" xfId="9310"/>
    <cellStyle name="Normal 80 3" xfId="311"/>
    <cellStyle name="Normal 80 3 2" xfId="875"/>
    <cellStyle name="Normal 80 3 2 2" xfId="2045"/>
    <cellStyle name="Normal 80 3 2 2 2" xfId="4147"/>
    <cellStyle name="Normal 80 3 2 2 2 2" xfId="8661"/>
    <cellStyle name="Normal 80 3 2 2 2 2 2" xfId="17702"/>
    <cellStyle name="Normal 80 3 2 2 2 3" xfId="13189"/>
    <cellStyle name="Normal 80 3 2 2 3" xfId="6568"/>
    <cellStyle name="Normal 80 3 2 2 3 2" xfId="15609"/>
    <cellStyle name="Normal 80 3 2 2 4" xfId="11096"/>
    <cellStyle name="Normal 80 3 2 3" xfId="4146"/>
    <cellStyle name="Normal 80 3 2 3 2" xfId="8660"/>
    <cellStyle name="Normal 80 3 2 3 2 2" xfId="17701"/>
    <cellStyle name="Normal 80 3 2 3 3" xfId="13188"/>
    <cellStyle name="Normal 80 3 2 4" xfId="5440"/>
    <cellStyle name="Normal 80 3 2 4 2" xfId="14481"/>
    <cellStyle name="Normal 80 3 2 5" xfId="9968"/>
    <cellStyle name="Normal 80 3 3" xfId="1481"/>
    <cellStyle name="Normal 80 3 3 2" xfId="4148"/>
    <cellStyle name="Normal 80 3 3 2 2" xfId="8662"/>
    <cellStyle name="Normal 80 3 3 2 2 2" xfId="17703"/>
    <cellStyle name="Normal 80 3 3 2 3" xfId="13190"/>
    <cellStyle name="Normal 80 3 3 3" xfId="6004"/>
    <cellStyle name="Normal 80 3 3 3 2" xfId="15045"/>
    <cellStyle name="Normal 80 3 3 4" xfId="10532"/>
    <cellStyle name="Normal 80 3 4" xfId="4145"/>
    <cellStyle name="Normal 80 3 4 2" xfId="8659"/>
    <cellStyle name="Normal 80 3 4 2 2" xfId="17700"/>
    <cellStyle name="Normal 80 3 4 3" xfId="13187"/>
    <cellStyle name="Normal 80 3 5" xfId="4876"/>
    <cellStyle name="Normal 80 3 5 2" xfId="13917"/>
    <cellStyle name="Normal 80 3 6" xfId="9404"/>
    <cellStyle name="Normal 80 4" xfId="499"/>
    <cellStyle name="Normal 80 4 2" xfId="1063"/>
    <cellStyle name="Normal 80 4 2 2" xfId="2233"/>
    <cellStyle name="Normal 80 4 2 2 2" xfId="4151"/>
    <cellStyle name="Normal 80 4 2 2 2 2" xfId="8665"/>
    <cellStyle name="Normal 80 4 2 2 2 2 2" xfId="17706"/>
    <cellStyle name="Normal 80 4 2 2 2 3" xfId="13193"/>
    <cellStyle name="Normal 80 4 2 2 3" xfId="6756"/>
    <cellStyle name="Normal 80 4 2 2 3 2" xfId="15797"/>
    <cellStyle name="Normal 80 4 2 2 4" xfId="11284"/>
    <cellStyle name="Normal 80 4 2 3" xfId="4150"/>
    <cellStyle name="Normal 80 4 2 3 2" xfId="8664"/>
    <cellStyle name="Normal 80 4 2 3 2 2" xfId="17705"/>
    <cellStyle name="Normal 80 4 2 3 3" xfId="13192"/>
    <cellStyle name="Normal 80 4 2 4" xfId="5628"/>
    <cellStyle name="Normal 80 4 2 4 2" xfId="14669"/>
    <cellStyle name="Normal 80 4 2 5" xfId="10156"/>
    <cellStyle name="Normal 80 4 3" xfId="1669"/>
    <cellStyle name="Normal 80 4 3 2" xfId="4152"/>
    <cellStyle name="Normal 80 4 3 2 2" xfId="8666"/>
    <cellStyle name="Normal 80 4 3 2 2 2" xfId="17707"/>
    <cellStyle name="Normal 80 4 3 2 3" xfId="13194"/>
    <cellStyle name="Normal 80 4 3 3" xfId="6192"/>
    <cellStyle name="Normal 80 4 3 3 2" xfId="15233"/>
    <cellStyle name="Normal 80 4 3 4" xfId="10720"/>
    <cellStyle name="Normal 80 4 4" xfId="4149"/>
    <cellStyle name="Normal 80 4 4 2" xfId="8663"/>
    <cellStyle name="Normal 80 4 4 2 2" xfId="17704"/>
    <cellStyle name="Normal 80 4 4 3" xfId="13191"/>
    <cellStyle name="Normal 80 4 5" xfId="5064"/>
    <cellStyle name="Normal 80 4 5 2" xfId="14105"/>
    <cellStyle name="Normal 80 4 6" xfId="9592"/>
    <cellStyle name="Normal 80 5" xfId="687"/>
    <cellStyle name="Normal 80 5 2" xfId="1857"/>
    <cellStyle name="Normal 80 5 2 2" xfId="4154"/>
    <cellStyle name="Normal 80 5 2 2 2" xfId="8668"/>
    <cellStyle name="Normal 80 5 2 2 2 2" xfId="17709"/>
    <cellStyle name="Normal 80 5 2 2 3" xfId="13196"/>
    <cellStyle name="Normal 80 5 2 3" xfId="6380"/>
    <cellStyle name="Normal 80 5 2 3 2" xfId="15421"/>
    <cellStyle name="Normal 80 5 2 4" xfId="10908"/>
    <cellStyle name="Normal 80 5 3" xfId="4153"/>
    <cellStyle name="Normal 80 5 3 2" xfId="8667"/>
    <cellStyle name="Normal 80 5 3 2 2" xfId="17708"/>
    <cellStyle name="Normal 80 5 3 3" xfId="13195"/>
    <cellStyle name="Normal 80 5 4" xfId="5252"/>
    <cellStyle name="Normal 80 5 4 2" xfId="14293"/>
    <cellStyle name="Normal 80 5 5" xfId="9780"/>
    <cellStyle name="Normal 80 6" xfId="1293"/>
    <cellStyle name="Normal 80 6 2" xfId="4155"/>
    <cellStyle name="Normal 80 6 2 2" xfId="8669"/>
    <cellStyle name="Normal 80 6 2 2 2" xfId="17710"/>
    <cellStyle name="Normal 80 6 2 3" xfId="13197"/>
    <cellStyle name="Normal 80 6 3" xfId="5816"/>
    <cellStyle name="Normal 80 6 3 2" xfId="14857"/>
    <cellStyle name="Normal 80 6 4" xfId="10344"/>
    <cellStyle name="Normal 80 7" xfId="4132"/>
    <cellStyle name="Normal 80 7 2" xfId="8646"/>
    <cellStyle name="Normal 80 7 2 2" xfId="17687"/>
    <cellStyle name="Normal 80 7 3" xfId="13174"/>
    <cellStyle name="Normal 80 8" xfId="4688"/>
    <cellStyle name="Normal 80 8 2" xfId="13729"/>
    <cellStyle name="Normal 80 9" xfId="9216"/>
    <cellStyle name="Normal 81" xfId="81"/>
    <cellStyle name="Normal 81 2" xfId="177"/>
    <cellStyle name="Normal 81 2 2" xfId="406"/>
    <cellStyle name="Normal 81 2 2 2" xfId="970"/>
    <cellStyle name="Normal 81 2 2 2 2" xfId="2140"/>
    <cellStyle name="Normal 81 2 2 2 2 2" xfId="4160"/>
    <cellStyle name="Normal 81 2 2 2 2 2 2" xfId="8674"/>
    <cellStyle name="Normal 81 2 2 2 2 2 2 2" xfId="17715"/>
    <cellStyle name="Normal 81 2 2 2 2 2 3" xfId="13202"/>
    <cellStyle name="Normal 81 2 2 2 2 3" xfId="6663"/>
    <cellStyle name="Normal 81 2 2 2 2 3 2" xfId="15704"/>
    <cellStyle name="Normal 81 2 2 2 2 4" xfId="11191"/>
    <cellStyle name="Normal 81 2 2 2 3" xfId="4159"/>
    <cellStyle name="Normal 81 2 2 2 3 2" xfId="8673"/>
    <cellStyle name="Normal 81 2 2 2 3 2 2" xfId="17714"/>
    <cellStyle name="Normal 81 2 2 2 3 3" xfId="13201"/>
    <cellStyle name="Normal 81 2 2 2 4" xfId="5535"/>
    <cellStyle name="Normal 81 2 2 2 4 2" xfId="14576"/>
    <cellStyle name="Normal 81 2 2 2 5" xfId="10063"/>
    <cellStyle name="Normal 81 2 2 3" xfId="1576"/>
    <cellStyle name="Normal 81 2 2 3 2" xfId="4161"/>
    <cellStyle name="Normal 81 2 2 3 2 2" xfId="8675"/>
    <cellStyle name="Normal 81 2 2 3 2 2 2" xfId="17716"/>
    <cellStyle name="Normal 81 2 2 3 2 3" xfId="13203"/>
    <cellStyle name="Normal 81 2 2 3 3" xfId="6099"/>
    <cellStyle name="Normal 81 2 2 3 3 2" xfId="15140"/>
    <cellStyle name="Normal 81 2 2 3 4" xfId="10627"/>
    <cellStyle name="Normal 81 2 2 4" xfId="4158"/>
    <cellStyle name="Normal 81 2 2 4 2" xfId="8672"/>
    <cellStyle name="Normal 81 2 2 4 2 2" xfId="17713"/>
    <cellStyle name="Normal 81 2 2 4 3" xfId="13200"/>
    <cellStyle name="Normal 81 2 2 5" xfId="4971"/>
    <cellStyle name="Normal 81 2 2 5 2" xfId="14012"/>
    <cellStyle name="Normal 81 2 2 6" xfId="9499"/>
    <cellStyle name="Normal 81 2 3" xfId="594"/>
    <cellStyle name="Normal 81 2 3 2" xfId="1158"/>
    <cellStyle name="Normal 81 2 3 2 2" xfId="2328"/>
    <cellStyle name="Normal 81 2 3 2 2 2" xfId="4164"/>
    <cellStyle name="Normal 81 2 3 2 2 2 2" xfId="8678"/>
    <cellStyle name="Normal 81 2 3 2 2 2 2 2" xfId="17719"/>
    <cellStyle name="Normal 81 2 3 2 2 2 3" xfId="13206"/>
    <cellStyle name="Normal 81 2 3 2 2 3" xfId="6851"/>
    <cellStyle name="Normal 81 2 3 2 2 3 2" xfId="15892"/>
    <cellStyle name="Normal 81 2 3 2 2 4" xfId="11379"/>
    <cellStyle name="Normal 81 2 3 2 3" xfId="4163"/>
    <cellStyle name="Normal 81 2 3 2 3 2" xfId="8677"/>
    <cellStyle name="Normal 81 2 3 2 3 2 2" xfId="17718"/>
    <cellStyle name="Normal 81 2 3 2 3 3" xfId="13205"/>
    <cellStyle name="Normal 81 2 3 2 4" xfId="5723"/>
    <cellStyle name="Normal 81 2 3 2 4 2" xfId="14764"/>
    <cellStyle name="Normal 81 2 3 2 5" xfId="10251"/>
    <cellStyle name="Normal 81 2 3 3" xfId="1764"/>
    <cellStyle name="Normal 81 2 3 3 2" xfId="4165"/>
    <cellStyle name="Normal 81 2 3 3 2 2" xfId="8679"/>
    <cellStyle name="Normal 81 2 3 3 2 2 2" xfId="17720"/>
    <cellStyle name="Normal 81 2 3 3 2 3" xfId="13207"/>
    <cellStyle name="Normal 81 2 3 3 3" xfId="6287"/>
    <cellStyle name="Normal 81 2 3 3 3 2" xfId="15328"/>
    <cellStyle name="Normal 81 2 3 3 4" xfId="10815"/>
    <cellStyle name="Normal 81 2 3 4" xfId="4162"/>
    <cellStyle name="Normal 81 2 3 4 2" xfId="8676"/>
    <cellStyle name="Normal 81 2 3 4 2 2" xfId="17717"/>
    <cellStyle name="Normal 81 2 3 4 3" xfId="13204"/>
    <cellStyle name="Normal 81 2 3 5" xfId="5159"/>
    <cellStyle name="Normal 81 2 3 5 2" xfId="14200"/>
    <cellStyle name="Normal 81 2 3 6" xfId="9687"/>
    <cellStyle name="Normal 81 2 4" xfId="782"/>
    <cellStyle name="Normal 81 2 4 2" xfId="1952"/>
    <cellStyle name="Normal 81 2 4 2 2" xfId="4167"/>
    <cellStyle name="Normal 81 2 4 2 2 2" xfId="8681"/>
    <cellStyle name="Normal 81 2 4 2 2 2 2" xfId="17722"/>
    <cellStyle name="Normal 81 2 4 2 2 3" xfId="13209"/>
    <cellStyle name="Normal 81 2 4 2 3" xfId="6475"/>
    <cellStyle name="Normal 81 2 4 2 3 2" xfId="15516"/>
    <cellStyle name="Normal 81 2 4 2 4" xfId="11003"/>
    <cellStyle name="Normal 81 2 4 3" xfId="4166"/>
    <cellStyle name="Normal 81 2 4 3 2" xfId="8680"/>
    <cellStyle name="Normal 81 2 4 3 2 2" xfId="17721"/>
    <cellStyle name="Normal 81 2 4 3 3" xfId="13208"/>
    <cellStyle name="Normal 81 2 4 4" xfId="5347"/>
    <cellStyle name="Normal 81 2 4 4 2" xfId="14388"/>
    <cellStyle name="Normal 81 2 4 5" xfId="9875"/>
    <cellStyle name="Normal 81 2 5" xfId="1388"/>
    <cellStyle name="Normal 81 2 5 2" xfId="4168"/>
    <cellStyle name="Normal 81 2 5 2 2" xfId="8682"/>
    <cellStyle name="Normal 81 2 5 2 2 2" xfId="17723"/>
    <cellStyle name="Normal 81 2 5 2 3" xfId="13210"/>
    <cellStyle name="Normal 81 2 5 3" xfId="5911"/>
    <cellStyle name="Normal 81 2 5 3 2" xfId="14952"/>
    <cellStyle name="Normal 81 2 5 4" xfId="10439"/>
    <cellStyle name="Normal 81 2 6" xfId="4157"/>
    <cellStyle name="Normal 81 2 6 2" xfId="8671"/>
    <cellStyle name="Normal 81 2 6 2 2" xfId="17712"/>
    <cellStyle name="Normal 81 2 6 3" xfId="13199"/>
    <cellStyle name="Normal 81 2 7" xfId="4783"/>
    <cellStyle name="Normal 81 2 7 2" xfId="13824"/>
    <cellStyle name="Normal 81 2 8" xfId="9311"/>
    <cellStyle name="Normal 81 3" xfId="312"/>
    <cellStyle name="Normal 81 3 2" xfId="876"/>
    <cellStyle name="Normal 81 3 2 2" xfId="2046"/>
    <cellStyle name="Normal 81 3 2 2 2" xfId="4171"/>
    <cellStyle name="Normal 81 3 2 2 2 2" xfId="8685"/>
    <cellStyle name="Normal 81 3 2 2 2 2 2" xfId="17726"/>
    <cellStyle name="Normal 81 3 2 2 2 3" xfId="13213"/>
    <cellStyle name="Normal 81 3 2 2 3" xfId="6569"/>
    <cellStyle name="Normal 81 3 2 2 3 2" xfId="15610"/>
    <cellStyle name="Normal 81 3 2 2 4" xfId="11097"/>
    <cellStyle name="Normal 81 3 2 3" xfId="4170"/>
    <cellStyle name="Normal 81 3 2 3 2" xfId="8684"/>
    <cellStyle name="Normal 81 3 2 3 2 2" xfId="17725"/>
    <cellStyle name="Normal 81 3 2 3 3" xfId="13212"/>
    <cellStyle name="Normal 81 3 2 4" xfId="5441"/>
    <cellStyle name="Normal 81 3 2 4 2" xfId="14482"/>
    <cellStyle name="Normal 81 3 2 5" xfId="9969"/>
    <cellStyle name="Normal 81 3 3" xfId="1482"/>
    <cellStyle name="Normal 81 3 3 2" xfId="4172"/>
    <cellStyle name="Normal 81 3 3 2 2" xfId="8686"/>
    <cellStyle name="Normal 81 3 3 2 2 2" xfId="17727"/>
    <cellStyle name="Normal 81 3 3 2 3" xfId="13214"/>
    <cellStyle name="Normal 81 3 3 3" xfId="6005"/>
    <cellStyle name="Normal 81 3 3 3 2" xfId="15046"/>
    <cellStyle name="Normal 81 3 3 4" xfId="10533"/>
    <cellStyle name="Normal 81 3 4" xfId="4169"/>
    <cellStyle name="Normal 81 3 4 2" xfId="8683"/>
    <cellStyle name="Normal 81 3 4 2 2" xfId="17724"/>
    <cellStyle name="Normal 81 3 4 3" xfId="13211"/>
    <cellStyle name="Normal 81 3 5" xfId="4877"/>
    <cellStyle name="Normal 81 3 5 2" xfId="13918"/>
    <cellStyle name="Normal 81 3 6" xfId="9405"/>
    <cellStyle name="Normal 81 4" xfId="500"/>
    <cellStyle name="Normal 81 4 2" xfId="1064"/>
    <cellStyle name="Normal 81 4 2 2" xfId="2234"/>
    <cellStyle name="Normal 81 4 2 2 2" xfId="4175"/>
    <cellStyle name="Normal 81 4 2 2 2 2" xfId="8689"/>
    <cellStyle name="Normal 81 4 2 2 2 2 2" xfId="17730"/>
    <cellStyle name="Normal 81 4 2 2 2 3" xfId="13217"/>
    <cellStyle name="Normal 81 4 2 2 3" xfId="6757"/>
    <cellStyle name="Normal 81 4 2 2 3 2" xfId="15798"/>
    <cellStyle name="Normal 81 4 2 2 4" xfId="11285"/>
    <cellStyle name="Normal 81 4 2 3" xfId="4174"/>
    <cellStyle name="Normal 81 4 2 3 2" xfId="8688"/>
    <cellStyle name="Normal 81 4 2 3 2 2" xfId="17729"/>
    <cellStyle name="Normal 81 4 2 3 3" xfId="13216"/>
    <cellStyle name="Normal 81 4 2 4" xfId="5629"/>
    <cellStyle name="Normal 81 4 2 4 2" xfId="14670"/>
    <cellStyle name="Normal 81 4 2 5" xfId="10157"/>
    <cellStyle name="Normal 81 4 3" xfId="1670"/>
    <cellStyle name="Normal 81 4 3 2" xfId="4176"/>
    <cellStyle name="Normal 81 4 3 2 2" xfId="8690"/>
    <cellStyle name="Normal 81 4 3 2 2 2" xfId="17731"/>
    <cellStyle name="Normal 81 4 3 2 3" xfId="13218"/>
    <cellStyle name="Normal 81 4 3 3" xfId="6193"/>
    <cellStyle name="Normal 81 4 3 3 2" xfId="15234"/>
    <cellStyle name="Normal 81 4 3 4" xfId="10721"/>
    <cellStyle name="Normal 81 4 4" xfId="4173"/>
    <cellStyle name="Normal 81 4 4 2" xfId="8687"/>
    <cellStyle name="Normal 81 4 4 2 2" xfId="17728"/>
    <cellStyle name="Normal 81 4 4 3" xfId="13215"/>
    <cellStyle name="Normal 81 4 5" xfId="5065"/>
    <cellStyle name="Normal 81 4 5 2" xfId="14106"/>
    <cellStyle name="Normal 81 4 6" xfId="9593"/>
    <cellStyle name="Normal 81 5" xfId="688"/>
    <cellStyle name="Normal 81 5 2" xfId="1858"/>
    <cellStyle name="Normal 81 5 2 2" xfId="4178"/>
    <cellStyle name="Normal 81 5 2 2 2" xfId="8692"/>
    <cellStyle name="Normal 81 5 2 2 2 2" xfId="17733"/>
    <cellStyle name="Normal 81 5 2 2 3" xfId="13220"/>
    <cellStyle name="Normal 81 5 2 3" xfId="6381"/>
    <cellStyle name="Normal 81 5 2 3 2" xfId="15422"/>
    <cellStyle name="Normal 81 5 2 4" xfId="10909"/>
    <cellStyle name="Normal 81 5 3" xfId="4177"/>
    <cellStyle name="Normal 81 5 3 2" xfId="8691"/>
    <cellStyle name="Normal 81 5 3 2 2" xfId="17732"/>
    <cellStyle name="Normal 81 5 3 3" xfId="13219"/>
    <cellStyle name="Normal 81 5 4" xfId="5253"/>
    <cellStyle name="Normal 81 5 4 2" xfId="14294"/>
    <cellStyle name="Normal 81 5 5" xfId="9781"/>
    <cellStyle name="Normal 81 6" xfId="1294"/>
    <cellStyle name="Normal 81 6 2" xfId="4179"/>
    <cellStyle name="Normal 81 6 2 2" xfId="8693"/>
    <cellStyle name="Normal 81 6 2 2 2" xfId="17734"/>
    <cellStyle name="Normal 81 6 2 3" xfId="13221"/>
    <cellStyle name="Normal 81 6 3" xfId="5817"/>
    <cellStyle name="Normal 81 6 3 2" xfId="14858"/>
    <cellStyle name="Normal 81 6 4" xfId="10345"/>
    <cellStyle name="Normal 81 7" xfId="4156"/>
    <cellStyle name="Normal 81 7 2" xfId="8670"/>
    <cellStyle name="Normal 81 7 2 2" xfId="17711"/>
    <cellStyle name="Normal 81 7 3" xfId="13198"/>
    <cellStyle name="Normal 81 8" xfId="4689"/>
    <cellStyle name="Normal 81 8 2" xfId="13730"/>
    <cellStyle name="Normal 81 9" xfId="9217"/>
    <cellStyle name="Normal 82" xfId="82"/>
    <cellStyle name="Normal 82 2" xfId="178"/>
    <cellStyle name="Normal 82 2 2" xfId="407"/>
    <cellStyle name="Normal 82 2 2 2" xfId="971"/>
    <cellStyle name="Normal 82 2 2 2 2" xfId="2141"/>
    <cellStyle name="Normal 82 2 2 2 2 2" xfId="4184"/>
    <cellStyle name="Normal 82 2 2 2 2 2 2" xfId="8698"/>
    <cellStyle name="Normal 82 2 2 2 2 2 2 2" xfId="17739"/>
    <cellStyle name="Normal 82 2 2 2 2 2 3" xfId="13226"/>
    <cellStyle name="Normal 82 2 2 2 2 3" xfId="6664"/>
    <cellStyle name="Normal 82 2 2 2 2 3 2" xfId="15705"/>
    <cellStyle name="Normal 82 2 2 2 2 4" xfId="11192"/>
    <cellStyle name="Normal 82 2 2 2 3" xfId="4183"/>
    <cellStyle name="Normal 82 2 2 2 3 2" xfId="8697"/>
    <cellStyle name="Normal 82 2 2 2 3 2 2" xfId="17738"/>
    <cellStyle name="Normal 82 2 2 2 3 3" xfId="13225"/>
    <cellStyle name="Normal 82 2 2 2 4" xfId="5536"/>
    <cellStyle name="Normal 82 2 2 2 4 2" xfId="14577"/>
    <cellStyle name="Normal 82 2 2 2 5" xfId="10064"/>
    <cellStyle name="Normal 82 2 2 3" xfId="1577"/>
    <cellStyle name="Normal 82 2 2 3 2" xfId="4185"/>
    <cellStyle name="Normal 82 2 2 3 2 2" xfId="8699"/>
    <cellStyle name="Normal 82 2 2 3 2 2 2" xfId="17740"/>
    <cellStyle name="Normal 82 2 2 3 2 3" xfId="13227"/>
    <cellStyle name="Normal 82 2 2 3 3" xfId="6100"/>
    <cellStyle name="Normal 82 2 2 3 3 2" xfId="15141"/>
    <cellStyle name="Normal 82 2 2 3 4" xfId="10628"/>
    <cellStyle name="Normal 82 2 2 4" xfId="4182"/>
    <cellStyle name="Normal 82 2 2 4 2" xfId="8696"/>
    <cellStyle name="Normal 82 2 2 4 2 2" xfId="17737"/>
    <cellStyle name="Normal 82 2 2 4 3" xfId="13224"/>
    <cellStyle name="Normal 82 2 2 5" xfId="4972"/>
    <cellStyle name="Normal 82 2 2 5 2" xfId="14013"/>
    <cellStyle name="Normal 82 2 2 6" xfId="9500"/>
    <cellStyle name="Normal 82 2 3" xfId="595"/>
    <cellStyle name="Normal 82 2 3 2" xfId="1159"/>
    <cellStyle name="Normal 82 2 3 2 2" xfId="2329"/>
    <cellStyle name="Normal 82 2 3 2 2 2" xfId="4188"/>
    <cellStyle name="Normal 82 2 3 2 2 2 2" xfId="8702"/>
    <cellStyle name="Normal 82 2 3 2 2 2 2 2" xfId="17743"/>
    <cellStyle name="Normal 82 2 3 2 2 2 3" xfId="13230"/>
    <cellStyle name="Normal 82 2 3 2 2 3" xfId="6852"/>
    <cellStyle name="Normal 82 2 3 2 2 3 2" xfId="15893"/>
    <cellStyle name="Normal 82 2 3 2 2 4" xfId="11380"/>
    <cellStyle name="Normal 82 2 3 2 3" xfId="4187"/>
    <cellStyle name="Normal 82 2 3 2 3 2" xfId="8701"/>
    <cellStyle name="Normal 82 2 3 2 3 2 2" xfId="17742"/>
    <cellStyle name="Normal 82 2 3 2 3 3" xfId="13229"/>
    <cellStyle name="Normal 82 2 3 2 4" xfId="5724"/>
    <cellStyle name="Normal 82 2 3 2 4 2" xfId="14765"/>
    <cellStyle name="Normal 82 2 3 2 5" xfId="10252"/>
    <cellStyle name="Normal 82 2 3 3" xfId="1765"/>
    <cellStyle name="Normal 82 2 3 3 2" xfId="4189"/>
    <cellStyle name="Normal 82 2 3 3 2 2" xfId="8703"/>
    <cellStyle name="Normal 82 2 3 3 2 2 2" xfId="17744"/>
    <cellStyle name="Normal 82 2 3 3 2 3" xfId="13231"/>
    <cellStyle name="Normal 82 2 3 3 3" xfId="6288"/>
    <cellStyle name="Normal 82 2 3 3 3 2" xfId="15329"/>
    <cellStyle name="Normal 82 2 3 3 4" xfId="10816"/>
    <cellStyle name="Normal 82 2 3 4" xfId="4186"/>
    <cellStyle name="Normal 82 2 3 4 2" xfId="8700"/>
    <cellStyle name="Normal 82 2 3 4 2 2" xfId="17741"/>
    <cellStyle name="Normal 82 2 3 4 3" xfId="13228"/>
    <cellStyle name="Normal 82 2 3 5" xfId="5160"/>
    <cellStyle name="Normal 82 2 3 5 2" xfId="14201"/>
    <cellStyle name="Normal 82 2 3 6" xfId="9688"/>
    <cellStyle name="Normal 82 2 4" xfId="783"/>
    <cellStyle name="Normal 82 2 4 2" xfId="1953"/>
    <cellStyle name="Normal 82 2 4 2 2" xfId="4191"/>
    <cellStyle name="Normal 82 2 4 2 2 2" xfId="8705"/>
    <cellStyle name="Normal 82 2 4 2 2 2 2" xfId="17746"/>
    <cellStyle name="Normal 82 2 4 2 2 3" xfId="13233"/>
    <cellStyle name="Normal 82 2 4 2 3" xfId="6476"/>
    <cellStyle name="Normal 82 2 4 2 3 2" xfId="15517"/>
    <cellStyle name="Normal 82 2 4 2 4" xfId="11004"/>
    <cellStyle name="Normal 82 2 4 3" xfId="4190"/>
    <cellStyle name="Normal 82 2 4 3 2" xfId="8704"/>
    <cellStyle name="Normal 82 2 4 3 2 2" xfId="17745"/>
    <cellStyle name="Normal 82 2 4 3 3" xfId="13232"/>
    <cellStyle name="Normal 82 2 4 4" xfId="5348"/>
    <cellStyle name="Normal 82 2 4 4 2" xfId="14389"/>
    <cellStyle name="Normal 82 2 4 5" xfId="9876"/>
    <cellStyle name="Normal 82 2 5" xfId="1389"/>
    <cellStyle name="Normal 82 2 5 2" xfId="4192"/>
    <cellStyle name="Normal 82 2 5 2 2" xfId="8706"/>
    <cellStyle name="Normal 82 2 5 2 2 2" xfId="17747"/>
    <cellStyle name="Normal 82 2 5 2 3" xfId="13234"/>
    <cellStyle name="Normal 82 2 5 3" xfId="5912"/>
    <cellStyle name="Normal 82 2 5 3 2" xfId="14953"/>
    <cellStyle name="Normal 82 2 5 4" xfId="10440"/>
    <cellStyle name="Normal 82 2 6" xfId="4181"/>
    <cellStyle name="Normal 82 2 6 2" xfId="8695"/>
    <cellStyle name="Normal 82 2 6 2 2" xfId="17736"/>
    <cellStyle name="Normal 82 2 6 3" xfId="13223"/>
    <cellStyle name="Normal 82 2 7" xfId="4784"/>
    <cellStyle name="Normal 82 2 7 2" xfId="13825"/>
    <cellStyle name="Normal 82 2 8" xfId="9312"/>
    <cellStyle name="Normal 82 3" xfId="313"/>
    <cellStyle name="Normal 82 3 2" xfId="877"/>
    <cellStyle name="Normal 82 3 2 2" xfId="2047"/>
    <cellStyle name="Normal 82 3 2 2 2" xfId="4195"/>
    <cellStyle name="Normal 82 3 2 2 2 2" xfId="8709"/>
    <cellStyle name="Normal 82 3 2 2 2 2 2" xfId="17750"/>
    <cellStyle name="Normal 82 3 2 2 2 3" xfId="13237"/>
    <cellStyle name="Normal 82 3 2 2 3" xfId="6570"/>
    <cellStyle name="Normal 82 3 2 2 3 2" xfId="15611"/>
    <cellStyle name="Normal 82 3 2 2 4" xfId="11098"/>
    <cellStyle name="Normal 82 3 2 3" xfId="4194"/>
    <cellStyle name="Normal 82 3 2 3 2" xfId="8708"/>
    <cellStyle name="Normal 82 3 2 3 2 2" xfId="17749"/>
    <cellStyle name="Normal 82 3 2 3 3" xfId="13236"/>
    <cellStyle name="Normal 82 3 2 4" xfId="5442"/>
    <cellStyle name="Normal 82 3 2 4 2" xfId="14483"/>
    <cellStyle name="Normal 82 3 2 5" xfId="9970"/>
    <cellStyle name="Normal 82 3 3" xfId="1483"/>
    <cellStyle name="Normal 82 3 3 2" xfId="4196"/>
    <cellStyle name="Normal 82 3 3 2 2" xfId="8710"/>
    <cellStyle name="Normal 82 3 3 2 2 2" xfId="17751"/>
    <cellStyle name="Normal 82 3 3 2 3" xfId="13238"/>
    <cellStyle name="Normal 82 3 3 3" xfId="6006"/>
    <cellStyle name="Normal 82 3 3 3 2" xfId="15047"/>
    <cellStyle name="Normal 82 3 3 4" xfId="10534"/>
    <cellStyle name="Normal 82 3 4" xfId="4193"/>
    <cellStyle name="Normal 82 3 4 2" xfId="8707"/>
    <cellStyle name="Normal 82 3 4 2 2" xfId="17748"/>
    <cellStyle name="Normal 82 3 4 3" xfId="13235"/>
    <cellStyle name="Normal 82 3 5" xfId="4878"/>
    <cellStyle name="Normal 82 3 5 2" xfId="13919"/>
    <cellStyle name="Normal 82 3 6" xfId="9406"/>
    <cellStyle name="Normal 82 4" xfId="501"/>
    <cellStyle name="Normal 82 4 2" xfId="1065"/>
    <cellStyle name="Normal 82 4 2 2" xfId="2235"/>
    <cellStyle name="Normal 82 4 2 2 2" xfId="4199"/>
    <cellStyle name="Normal 82 4 2 2 2 2" xfId="8713"/>
    <cellStyle name="Normal 82 4 2 2 2 2 2" xfId="17754"/>
    <cellStyle name="Normal 82 4 2 2 2 3" xfId="13241"/>
    <cellStyle name="Normal 82 4 2 2 3" xfId="6758"/>
    <cellStyle name="Normal 82 4 2 2 3 2" xfId="15799"/>
    <cellStyle name="Normal 82 4 2 2 4" xfId="11286"/>
    <cellStyle name="Normal 82 4 2 3" xfId="4198"/>
    <cellStyle name="Normal 82 4 2 3 2" xfId="8712"/>
    <cellStyle name="Normal 82 4 2 3 2 2" xfId="17753"/>
    <cellStyle name="Normal 82 4 2 3 3" xfId="13240"/>
    <cellStyle name="Normal 82 4 2 4" xfId="5630"/>
    <cellStyle name="Normal 82 4 2 4 2" xfId="14671"/>
    <cellStyle name="Normal 82 4 2 5" xfId="10158"/>
    <cellStyle name="Normal 82 4 3" xfId="1671"/>
    <cellStyle name="Normal 82 4 3 2" xfId="4200"/>
    <cellStyle name="Normal 82 4 3 2 2" xfId="8714"/>
    <cellStyle name="Normal 82 4 3 2 2 2" xfId="17755"/>
    <cellStyle name="Normal 82 4 3 2 3" xfId="13242"/>
    <cellStyle name="Normal 82 4 3 3" xfId="6194"/>
    <cellStyle name="Normal 82 4 3 3 2" xfId="15235"/>
    <cellStyle name="Normal 82 4 3 4" xfId="10722"/>
    <cellStyle name="Normal 82 4 4" xfId="4197"/>
    <cellStyle name="Normal 82 4 4 2" xfId="8711"/>
    <cellStyle name="Normal 82 4 4 2 2" xfId="17752"/>
    <cellStyle name="Normal 82 4 4 3" xfId="13239"/>
    <cellStyle name="Normal 82 4 5" xfId="5066"/>
    <cellStyle name="Normal 82 4 5 2" xfId="14107"/>
    <cellStyle name="Normal 82 4 6" xfId="9594"/>
    <cellStyle name="Normal 82 5" xfId="689"/>
    <cellStyle name="Normal 82 5 2" xfId="1859"/>
    <cellStyle name="Normal 82 5 2 2" xfId="4202"/>
    <cellStyle name="Normal 82 5 2 2 2" xfId="8716"/>
    <cellStyle name="Normal 82 5 2 2 2 2" xfId="17757"/>
    <cellStyle name="Normal 82 5 2 2 3" xfId="13244"/>
    <cellStyle name="Normal 82 5 2 3" xfId="6382"/>
    <cellStyle name="Normal 82 5 2 3 2" xfId="15423"/>
    <cellStyle name="Normal 82 5 2 4" xfId="10910"/>
    <cellStyle name="Normal 82 5 3" xfId="4201"/>
    <cellStyle name="Normal 82 5 3 2" xfId="8715"/>
    <cellStyle name="Normal 82 5 3 2 2" xfId="17756"/>
    <cellStyle name="Normal 82 5 3 3" xfId="13243"/>
    <cellStyle name="Normal 82 5 4" xfId="5254"/>
    <cellStyle name="Normal 82 5 4 2" xfId="14295"/>
    <cellStyle name="Normal 82 5 5" xfId="9782"/>
    <cellStyle name="Normal 82 6" xfId="1295"/>
    <cellStyle name="Normal 82 6 2" xfId="4203"/>
    <cellStyle name="Normal 82 6 2 2" xfId="8717"/>
    <cellStyle name="Normal 82 6 2 2 2" xfId="17758"/>
    <cellStyle name="Normal 82 6 2 3" xfId="13245"/>
    <cellStyle name="Normal 82 6 3" xfId="5818"/>
    <cellStyle name="Normal 82 6 3 2" xfId="14859"/>
    <cellStyle name="Normal 82 6 4" xfId="10346"/>
    <cellStyle name="Normal 82 7" xfId="4180"/>
    <cellStyle name="Normal 82 7 2" xfId="8694"/>
    <cellStyle name="Normal 82 7 2 2" xfId="17735"/>
    <cellStyle name="Normal 82 7 3" xfId="13222"/>
    <cellStyle name="Normal 82 8" xfId="4690"/>
    <cellStyle name="Normal 82 8 2" xfId="13731"/>
    <cellStyle name="Normal 82 9" xfId="9218"/>
    <cellStyle name="Normal 83" xfId="83"/>
    <cellStyle name="Normal 83 2" xfId="179"/>
    <cellStyle name="Normal 83 2 2" xfId="408"/>
    <cellStyle name="Normal 83 2 2 2" xfId="972"/>
    <cellStyle name="Normal 83 2 2 2 2" xfId="2142"/>
    <cellStyle name="Normal 83 2 2 2 2 2" xfId="4208"/>
    <cellStyle name="Normal 83 2 2 2 2 2 2" xfId="8722"/>
    <cellStyle name="Normal 83 2 2 2 2 2 2 2" xfId="17763"/>
    <cellStyle name="Normal 83 2 2 2 2 2 3" xfId="13250"/>
    <cellStyle name="Normal 83 2 2 2 2 3" xfId="6665"/>
    <cellStyle name="Normal 83 2 2 2 2 3 2" xfId="15706"/>
    <cellStyle name="Normal 83 2 2 2 2 4" xfId="11193"/>
    <cellStyle name="Normal 83 2 2 2 3" xfId="4207"/>
    <cellStyle name="Normal 83 2 2 2 3 2" xfId="8721"/>
    <cellStyle name="Normal 83 2 2 2 3 2 2" xfId="17762"/>
    <cellStyle name="Normal 83 2 2 2 3 3" xfId="13249"/>
    <cellStyle name="Normal 83 2 2 2 4" xfId="5537"/>
    <cellStyle name="Normal 83 2 2 2 4 2" xfId="14578"/>
    <cellStyle name="Normal 83 2 2 2 5" xfId="10065"/>
    <cellStyle name="Normal 83 2 2 3" xfId="1578"/>
    <cellStyle name="Normal 83 2 2 3 2" xfId="4209"/>
    <cellStyle name="Normal 83 2 2 3 2 2" xfId="8723"/>
    <cellStyle name="Normal 83 2 2 3 2 2 2" xfId="17764"/>
    <cellStyle name="Normal 83 2 2 3 2 3" xfId="13251"/>
    <cellStyle name="Normal 83 2 2 3 3" xfId="6101"/>
    <cellStyle name="Normal 83 2 2 3 3 2" xfId="15142"/>
    <cellStyle name="Normal 83 2 2 3 4" xfId="10629"/>
    <cellStyle name="Normal 83 2 2 4" xfId="4206"/>
    <cellStyle name="Normal 83 2 2 4 2" xfId="8720"/>
    <cellStyle name="Normal 83 2 2 4 2 2" xfId="17761"/>
    <cellStyle name="Normal 83 2 2 4 3" xfId="13248"/>
    <cellStyle name="Normal 83 2 2 5" xfId="4973"/>
    <cellStyle name="Normal 83 2 2 5 2" xfId="14014"/>
    <cellStyle name="Normal 83 2 2 6" xfId="9501"/>
    <cellStyle name="Normal 83 2 3" xfId="596"/>
    <cellStyle name="Normal 83 2 3 2" xfId="1160"/>
    <cellStyle name="Normal 83 2 3 2 2" xfId="2330"/>
    <cellStyle name="Normal 83 2 3 2 2 2" xfId="4212"/>
    <cellStyle name="Normal 83 2 3 2 2 2 2" xfId="8726"/>
    <cellStyle name="Normal 83 2 3 2 2 2 2 2" xfId="17767"/>
    <cellStyle name="Normal 83 2 3 2 2 2 3" xfId="13254"/>
    <cellStyle name="Normal 83 2 3 2 2 3" xfId="6853"/>
    <cellStyle name="Normal 83 2 3 2 2 3 2" xfId="15894"/>
    <cellStyle name="Normal 83 2 3 2 2 4" xfId="11381"/>
    <cellStyle name="Normal 83 2 3 2 3" xfId="4211"/>
    <cellStyle name="Normal 83 2 3 2 3 2" xfId="8725"/>
    <cellStyle name="Normal 83 2 3 2 3 2 2" xfId="17766"/>
    <cellStyle name="Normal 83 2 3 2 3 3" xfId="13253"/>
    <cellStyle name="Normal 83 2 3 2 4" xfId="5725"/>
    <cellStyle name="Normal 83 2 3 2 4 2" xfId="14766"/>
    <cellStyle name="Normal 83 2 3 2 5" xfId="10253"/>
    <cellStyle name="Normal 83 2 3 3" xfId="1766"/>
    <cellStyle name="Normal 83 2 3 3 2" xfId="4213"/>
    <cellStyle name="Normal 83 2 3 3 2 2" xfId="8727"/>
    <cellStyle name="Normal 83 2 3 3 2 2 2" xfId="17768"/>
    <cellStyle name="Normal 83 2 3 3 2 3" xfId="13255"/>
    <cellStyle name="Normal 83 2 3 3 3" xfId="6289"/>
    <cellStyle name="Normal 83 2 3 3 3 2" xfId="15330"/>
    <cellStyle name="Normal 83 2 3 3 4" xfId="10817"/>
    <cellStyle name="Normal 83 2 3 4" xfId="4210"/>
    <cellStyle name="Normal 83 2 3 4 2" xfId="8724"/>
    <cellStyle name="Normal 83 2 3 4 2 2" xfId="17765"/>
    <cellStyle name="Normal 83 2 3 4 3" xfId="13252"/>
    <cellStyle name="Normal 83 2 3 5" xfId="5161"/>
    <cellStyle name="Normal 83 2 3 5 2" xfId="14202"/>
    <cellStyle name="Normal 83 2 3 6" xfId="9689"/>
    <cellStyle name="Normal 83 2 4" xfId="784"/>
    <cellStyle name="Normal 83 2 4 2" xfId="1954"/>
    <cellStyle name="Normal 83 2 4 2 2" xfId="4215"/>
    <cellStyle name="Normal 83 2 4 2 2 2" xfId="8729"/>
    <cellStyle name="Normal 83 2 4 2 2 2 2" xfId="17770"/>
    <cellStyle name="Normal 83 2 4 2 2 3" xfId="13257"/>
    <cellStyle name="Normal 83 2 4 2 3" xfId="6477"/>
    <cellStyle name="Normal 83 2 4 2 3 2" xfId="15518"/>
    <cellStyle name="Normal 83 2 4 2 4" xfId="11005"/>
    <cellStyle name="Normal 83 2 4 3" xfId="4214"/>
    <cellStyle name="Normal 83 2 4 3 2" xfId="8728"/>
    <cellStyle name="Normal 83 2 4 3 2 2" xfId="17769"/>
    <cellStyle name="Normal 83 2 4 3 3" xfId="13256"/>
    <cellStyle name="Normal 83 2 4 4" xfId="5349"/>
    <cellStyle name="Normal 83 2 4 4 2" xfId="14390"/>
    <cellStyle name="Normal 83 2 4 5" xfId="9877"/>
    <cellStyle name="Normal 83 2 5" xfId="1390"/>
    <cellStyle name="Normal 83 2 5 2" xfId="4216"/>
    <cellStyle name="Normal 83 2 5 2 2" xfId="8730"/>
    <cellStyle name="Normal 83 2 5 2 2 2" xfId="17771"/>
    <cellStyle name="Normal 83 2 5 2 3" xfId="13258"/>
    <cellStyle name="Normal 83 2 5 3" xfId="5913"/>
    <cellStyle name="Normal 83 2 5 3 2" xfId="14954"/>
    <cellStyle name="Normal 83 2 5 4" xfId="10441"/>
    <cellStyle name="Normal 83 2 6" xfId="4205"/>
    <cellStyle name="Normal 83 2 6 2" xfId="8719"/>
    <cellStyle name="Normal 83 2 6 2 2" xfId="17760"/>
    <cellStyle name="Normal 83 2 6 3" xfId="13247"/>
    <cellStyle name="Normal 83 2 7" xfId="4785"/>
    <cellStyle name="Normal 83 2 7 2" xfId="13826"/>
    <cellStyle name="Normal 83 2 8" xfId="9313"/>
    <cellStyle name="Normal 83 3" xfId="314"/>
    <cellStyle name="Normal 83 3 2" xfId="878"/>
    <cellStyle name="Normal 83 3 2 2" xfId="2048"/>
    <cellStyle name="Normal 83 3 2 2 2" xfId="4219"/>
    <cellStyle name="Normal 83 3 2 2 2 2" xfId="8733"/>
    <cellStyle name="Normal 83 3 2 2 2 2 2" xfId="17774"/>
    <cellStyle name="Normal 83 3 2 2 2 3" xfId="13261"/>
    <cellStyle name="Normal 83 3 2 2 3" xfId="6571"/>
    <cellStyle name="Normal 83 3 2 2 3 2" xfId="15612"/>
    <cellStyle name="Normal 83 3 2 2 4" xfId="11099"/>
    <cellStyle name="Normal 83 3 2 3" xfId="4218"/>
    <cellStyle name="Normal 83 3 2 3 2" xfId="8732"/>
    <cellStyle name="Normal 83 3 2 3 2 2" xfId="17773"/>
    <cellStyle name="Normal 83 3 2 3 3" xfId="13260"/>
    <cellStyle name="Normal 83 3 2 4" xfId="5443"/>
    <cellStyle name="Normal 83 3 2 4 2" xfId="14484"/>
    <cellStyle name="Normal 83 3 2 5" xfId="9971"/>
    <cellStyle name="Normal 83 3 3" xfId="1484"/>
    <cellStyle name="Normal 83 3 3 2" xfId="4220"/>
    <cellStyle name="Normal 83 3 3 2 2" xfId="8734"/>
    <cellStyle name="Normal 83 3 3 2 2 2" xfId="17775"/>
    <cellStyle name="Normal 83 3 3 2 3" xfId="13262"/>
    <cellStyle name="Normal 83 3 3 3" xfId="6007"/>
    <cellStyle name="Normal 83 3 3 3 2" xfId="15048"/>
    <cellStyle name="Normal 83 3 3 4" xfId="10535"/>
    <cellStyle name="Normal 83 3 4" xfId="4217"/>
    <cellStyle name="Normal 83 3 4 2" xfId="8731"/>
    <cellStyle name="Normal 83 3 4 2 2" xfId="17772"/>
    <cellStyle name="Normal 83 3 4 3" xfId="13259"/>
    <cellStyle name="Normal 83 3 5" xfId="4879"/>
    <cellStyle name="Normal 83 3 5 2" xfId="13920"/>
    <cellStyle name="Normal 83 3 6" xfId="9407"/>
    <cellStyle name="Normal 83 4" xfId="502"/>
    <cellStyle name="Normal 83 4 2" xfId="1066"/>
    <cellStyle name="Normal 83 4 2 2" xfId="2236"/>
    <cellStyle name="Normal 83 4 2 2 2" xfId="4223"/>
    <cellStyle name="Normal 83 4 2 2 2 2" xfId="8737"/>
    <cellStyle name="Normal 83 4 2 2 2 2 2" xfId="17778"/>
    <cellStyle name="Normal 83 4 2 2 2 3" xfId="13265"/>
    <cellStyle name="Normal 83 4 2 2 3" xfId="6759"/>
    <cellStyle name="Normal 83 4 2 2 3 2" xfId="15800"/>
    <cellStyle name="Normal 83 4 2 2 4" xfId="11287"/>
    <cellStyle name="Normal 83 4 2 3" xfId="4222"/>
    <cellStyle name="Normal 83 4 2 3 2" xfId="8736"/>
    <cellStyle name="Normal 83 4 2 3 2 2" xfId="17777"/>
    <cellStyle name="Normal 83 4 2 3 3" xfId="13264"/>
    <cellStyle name="Normal 83 4 2 4" xfId="5631"/>
    <cellStyle name="Normal 83 4 2 4 2" xfId="14672"/>
    <cellStyle name="Normal 83 4 2 5" xfId="10159"/>
    <cellStyle name="Normal 83 4 3" xfId="1672"/>
    <cellStyle name="Normal 83 4 3 2" xfId="4224"/>
    <cellStyle name="Normal 83 4 3 2 2" xfId="8738"/>
    <cellStyle name="Normal 83 4 3 2 2 2" xfId="17779"/>
    <cellStyle name="Normal 83 4 3 2 3" xfId="13266"/>
    <cellStyle name="Normal 83 4 3 3" xfId="6195"/>
    <cellStyle name="Normal 83 4 3 3 2" xfId="15236"/>
    <cellStyle name="Normal 83 4 3 4" xfId="10723"/>
    <cellStyle name="Normal 83 4 4" xfId="4221"/>
    <cellStyle name="Normal 83 4 4 2" xfId="8735"/>
    <cellStyle name="Normal 83 4 4 2 2" xfId="17776"/>
    <cellStyle name="Normal 83 4 4 3" xfId="13263"/>
    <cellStyle name="Normal 83 4 5" xfId="5067"/>
    <cellStyle name="Normal 83 4 5 2" xfId="14108"/>
    <cellStyle name="Normal 83 4 6" xfId="9595"/>
    <cellStyle name="Normal 83 5" xfId="690"/>
    <cellStyle name="Normal 83 5 2" xfId="1860"/>
    <cellStyle name="Normal 83 5 2 2" xfId="4226"/>
    <cellStyle name="Normal 83 5 2 2 2" xfId="8740"/>
    <cellStyle name="Normal 83 5 2 2 2 2" xfId="17781"/>
    <cellStyle name="Normal 83 5 2 2 3" xfId="13268"/>
    <cellStyle name="Normal 83 5 2 3" xfId="6383"/>
    <cellStyle name="Normal 83 5 2 3 2" xfId="15424"/>
    <cellStyle name="Normal 83 5 2 4" xfId="10911"/>
    <cellStyle name="Normal 83 5 3" xfId="4225"/>
    <cellStyle name="Normal 83 5 3 2" xfId="8739"/>
    <cellStyle name="Normal 83 5 3 2 2" xfId="17780"/>
    <cellStyle name="Normal 83 5 3 3" xfId="13267"/>
    <cellStyle name="Normal 83 5 4" xfId="5255"/>
    <cellStyle name="Normal 83 5 4 2" xfId="14296"/>
    <cellStyle name="Normal 83 5 5" xfId="9783"/>
    <cellStyle name="Normal 83 6" xfId="1296"/>
    <cellStyle name="Normal 83 6 2" xfId="4227"/>
    <cellStyle name="Normal 83 6 2 2" xfId="8741"/>
    <cellStyle name="Normal 83 6 2 2 2" xfId="17782"/>
    <cellStyle name="Normal 83 6 2 3" xfId="13269"/>
    <cellStyle name="Normal 83 6 3" xfId="5819"/>
    <cellStyle name="Normal 83 6 3 2" xfId="14860"/>
    <cellStyle name="Normal 83 6 4" xfId="10347"/>
    <cellStyle name="Normal 83 7" xfId="4204"/>
    <cellStyle name="Normal 83 7 2" xfId="8718"/>
    <cellStyle name="Normal 83 7 2 2" xfId="17759"/>
    <cellStyle name="Normal 83 7 3" xfId="13246"/>
    <cellStyle name="Normal 83 8" xfId="4691"/>
    <cellStyle name="Normal 83 8 2" xfId="13732"/>
    <cellStyle name="Normal 83 9" xfId="9219"/>
    <cellStyle name="Normal 84" xfId="84"/>
    <cellStyle name="Normal 84 2" xfId="180"/>
    <cellStyle name="Normal 84 2 2" xfId="409"/>
    <cellStyle name="Normal 84 2 2 2" xfId="973"/>
    <cellStyle name="Normal 84 2 2 2 2" xfId="2143"/>
    <cellStyle name="Normal 84 2 2 2 2 2" xfId="4232"/>
    <cellStyle name="Normal 84 2 2 2 2 2 2" xfId="8746"/>
    <cellStyle name="Normal 84 2 2 2 2 2 2 2" xfId="17787"/>
    <cellStyle name="Normal 84 2 2 2 2 2 3" xfId="13274"/>
    <cellStyle name="Normal 84 2 2 2 2 3" xfId="6666"/>
    <cellStyle name="Normal 84 2 2 2 2 3 2" xfId="15707"/>
    <cellStyle name="Normal 84 2 2 2 2 4" xfId="11194"/>
    <cellStyle name="Normal 84 2 2 2 3" xfId="4231"/>
    <cellStyle name="Normal 84 2 2 2 3 2" xfId="8745"/>
    <cellStyle name="Normal 84 2 2 2 3 2 2" xfId="17786"/>
    <cellStyle name="Normal 84 2 2 2 3 3" xfId="13273"/>
    <cellStyle name="Normal 84 2 2 2 4" xfId="5538"/>
    <cellStyle name="Normal 84 2 2 2 4 2" xfId="14579"/>
    <cellStyle name="Normal 84 2 2 2 5" xfId="10066"/>
    <cellStyle name="Normal 84 2 2 3" xfId="1579"/>
    <cellStyle name="Normal 84 2 2 3 2" xfId="4233"/>
    <cellStyle name="Normal 84 2 2 3 2 2" xfId="8747"/>
    <cellStyle name="Normal 84 2 2 3 2 2 2" xfId="17788"/>
    <cellStyle name="Normal 84 2 2 3 2 3" xfId="13275"/>
    <cellStyle name="Normal 84 2 2 3 3" xfId="6102"/>
    <cellStyle name="Normal 84 2 2 3 3 2" xfId="15143"/>
    <cellStyle name="Normal 84 2 2 3 4" xfId="10630"/>
    <cellStyle name="Normal 84 2 2 4" xfId="4230"/>
    <cellStyle name="Normal 84 2 2 4 2" xfId="8744"/>
    <cellStyle name="Normal 84 2 2 4 2 2" xfId="17785"/>
    <cellStyle name="Normal 84 2 2 4 3" xfId="13272"/>
    <cellStyle name="Normal 84 2 2 5" xfId="4974"/>
    <cellStyle name="Normal 84 2 2 5 2" xfId="14015"/>
    <cellStyle name="Normal 84 2 2 6" xfId="9502"/>
    <cellStyle name="Normal 84 2 3" xfId="597"/>
    <cellStyle name="Normal 84 2 3 2" xfId="1161"/>
    <cellStyle name="Normal 84 2 3 2 2" xfId="2331"/>
    <cellStyle name="Normal 84 2 3 2 2 2" xfId="4236"/>
    <cellStyle name="Normal 84 2 3 2 2 2 2" xfId="8750"/>
    <cellStyle name="Normal 84 2 3 2 2 2 2 2" xfId="17791"/>
    <cellStyle name="Normal 84 2 3 2 2 2 3" xfId="13278"/>
    <cellStyle name="Normal 84 2 3 2 2 3" xfId="6854"/>
    <cellStyle name="Normal 84 2 3 2 2 3 2" xfId="15895"/>
    <cellStyle name="Normal 84 2 3 2 2 4" xfId="11382"/>
    <cellStyle name="Normal 84 2 3 2 3" xfId="4235"/>
    <cellStyle name="Normal 84 2 3 2 3 2" xfId="8749"/>
    <cellStyle name="Normal 84 2 3 2 3 2 2" xfId="17790"/>
    <cellStyle name="Normal 84 2 3 2 3 3" xfId="13277"/>
    <cellStyle name="Normal 84 2 3 2 4" xfId="5726"/>
    <cellStyle name="Normal 84 2 3 2 4 2" xfId="14767"/>
    <cellStyle name="Normal 84 2 3 2 5" xfId="10254"/>
    <cellStyle name="Normal 84 2 3 3" xfId="1767"/>
    <cellStyle name="Normal 84 2 3 3 2" xfId="4237"/>
    <cellStyle name="Normal 84 2 3 3 2 2" xfId="8751"/>
    <cellStyle name="Normal 84 2 3 3 2 2 2" xfId="17792"/>
    <cellStyle name="Normal 84 2 3 3 2 3" xfId="13279"/>
    <cellStyle name="Normal 84 2 3 3 3" xfId="6290"/>
    <cellStyle name="Normal 84 2 3 3 3 2" xfId="15331"/>
    <cellStyle name="Normal 84 2 3 3 4" xfId="10818"/>
    <cellStyle name="Normal 84 2 3 4" xfId="4234"/>
    <cellStyle name="Normal 84 2 3 4 2" xfId="8748"/>
    <cellStyle name="Normal 84 2 3 4 2 2" xfId="17789"/>
    <cellStyle name="Normal 84 2 3 4 3" xfId="13276"/>
    <cellStyle name="Normal 84 2 3 5" xfId="5162"/>
    <cellStyle name="Normal 84 2 3 5 2" xfId="14203"/>
    <cellStyle name="Normal 84 2 3 6" xfId="9690"/>
    <cellStyle name="Normal 84 2 4" xfId="785"/>
    <cellStyle name="Normal 84 2 4 2" xfId="1955"/>
    <cellStyle name="Normal 84 2 4 2 2" xfId="4239"/>
    <cellStyle name="Normal 84 2 4 2 2 2" xfId="8753"/>
    <cellStyle name="Normal 84 2 4 2 2 2 2" xfId="17794"/>
    <cellStyle name="Normal 84 2 4 2 2 3" xfId="13281"/>
    <cellStyle name="Normal 84 2 4 2 3" xfId="6478"/>
    <cellStyle name="Normal 84 2 4 2 3 2" xfId="15519"/>
    <cellStyle name="Normal 84 2 4 2 4" xfId="11006"/>
    <cellStyle name="Normal 84 2 4 3" xfId="4238"/>
    <cellStyle name="Normal 84 2 4 3 2" xfId="8752"/>
    <cellStyle name="Normal 84 2 4 3 2 2" xfId="17793"/>
    <cellStyle name="Normal 84 2 4 3 3" xfId="13280"/>
    <cellStyle name="Normal 84 2 4 4" xfId="5350"/>
    <cellStyle name="Normal 84 2 4 4 2" xfId="14391"/>
    <cellStyle name="Normal 84 2 4 5" xfId="9878"/>
    <cellStyle name="Normal 84 2 5" xfId="1391"/>
    <cellStyle name="Normal 84 2 5 2" xfId="4240"/>
    <cellStyle name="Normal 84 2 5 2 2" xfId="8754"/>
    <cellStyle name="Normal 84 2 5 2 2 2" xfId="17795"/>
    <cellStyle name="Normal 84 2 5 2 3" xfId="13282"/>
    <cellStyle name="Normal 84 2 5 3" xfId="5914"/>
    <cellStyle name="Normal 84 2 5 3 2" xfId="14955"/>
    <cellStyle name="Normal 84 2 5 4" xfId="10442"/>
    <cellStyle name="Normal 84 2 6" xfId="4229"/>
    <cellStyle name="Normal 84 2 6 2" xfId="8743"/>
    <cellStyle name="Normal 84 2 6 2 2" xfId="17784"/>
    <cellStyle name="Normal 84 2 6 3" xfId="13271"/>
    <cellStyle name="Normal 84 2 7" xfId="4786"/>
    <cellStyle name="Normal 84 2 7 2" xfId="13827"/>
    <cellStyle name="Normal 84 2 8" xfId="9314"/>
    <cellStyle name="Normal 84 3" xfId="315"/>
    <cellStyle name="Normal 84 3 2" xfId="879"/>
    <cellStyle name="Normal 84 3 2 2" xfId="2049"/>
    <cellStyle name="Normal 84 3 2 2 2" xfId="4243"/>
    <cellStyle name="Normal 84 3 2 2 2 2" xfId="8757"/>
    <cellStyle name="Normal 84 3 2 2 2 2 2" xfId="17798"/>
    <cellStyle name="Normal 84 3 2 2 2 3" xfId="13285"/>
    <cellStyle name="Normal 84 3 2 2 3" xfId="6572"/>
    <cellStyle name="Normal 84 3 2 2 3 2" xfId="15613"/>
    <cellStyle name="Normal 84 3 2 2 4" xfId="11100"/>
    <cellStyle name="Normal 84 3 2 3" xfId="4242"/>
    <cellStyle name="Normal 84 3 2 3 2" xfId="8756"/>
    <cellStyle name="Normal 84 3 2 3 2 2" xfId="17797"/>
    <cellStyle name="Normal 84 3 2 3 3" xfId="13284"/>
    <cellStyle name="Normal 84 3 2 4" xfId="5444"/>
    <cellStyle name="Normal 84 3 2 4 2" xfId="14485"/>
    <cellStyle name="Normal 84 3 2 5" xfId="9972"/>
    <cellStyle name="Normal 84 3 3" xfId="1485"/>
    <cellStyle name="Normal 84 3 3 2" xfId="4244"/>
    <cellStyle name="Normal 84 3 3 2 2" xfId="8758"/>
    <cellStyle name="Normal 84 3 3 2 2 2" xfId="17799"/>
    <cellStyle name="Normal 84 3 3 2 3" xfId="13286"/>
    <cellStyle name="Normal 84 3 3 3" xfId="6008"/>
    <cellStyle name="Normal 84 3 3 3 2" xfId="15049"/>
    <cellStyle name="Normal 84 3 3 4" xfId="10536"/>
    <cellStyle name="Normal 84 3 4" xfId="4241"/>
    <cellStyle name="Normal 84 3 4 2" xfId="8755"/>
    <cellStyle name="Normal 84 3 4 2 2" xfId="17796"/>
    <cellStyle name="Normal 84 3 4 3" xfId="13283"/>
    <cellStyle name="Normal 84 3 5" xfId="4880"/>
    <cellStyle name="Normal 84 3 5 2" xfId="13921"/>
    <cellStyle name="Normal 84 3 6" xfId="9408"/>
    <cellStyle name="Normal 84 4" xfId="503"/>
    <cellStyle name="Normal 84 4 2" xfId="1067"/>
    <cellStyle name="Normal 84 4 2 2" xfId="2237"/>
    <cellStyle name="Normal 84 4 2 2 2" xfId="4247"/>
    <cellStyle name="Normal 84 4 2 2 2 2" xfId="8761"/>
    <cellStyle name="Normal 84 4 2 2 2 2 2" xfId="17802"/>
    <cellStyle name="Normal 84 4 2 2 2 3" xfId="13289"/>
    <cellStyle name="Normal 84 4 2 2 3" xfId="6760"/>
    <cellStyle name="Normal 84 4 2 2 3 2" xfId="15801"/>
    <cellStyle name="Normal 84 4 2 2 4" xfId="11288"/>
    <cellStyle name="Normal 84 4 2 3" xfId="4246"/>
    <cellStyle name="Normal 84 4 2 3 2" xfId="8760"/>
    <cellStyle name="Normal 84 4 2 3 2 2" xfId="17801"/>
    <cellStyle name="Normal 84 4 2 3 3" xfId="13288"/>
    <cellStyle name="Normal 84 4 2 4" xfId="5632"/>
    <cellStyle name="Normal 84 4 2 4 2" xfId="14673"/>
    <cellStyle name="Normal 84 4 2 5" xfId="10160"/>
    <cellStyle name="Normal 84 4 3" xfId="1673"/>
    <cellStyle name="Normal 84 4 3 2" xfId="4248"/>
    <cellStyle name="Normal 84 4 3 2 2" xfId="8762"/>
    <cellStyle name="Normal 84 4 3 2 2 2" xfId="17803"/>
    <cellStyle name="Normal 84 4 3 2 3" xfId="13290"/>
    <cellStyle name="Normal 84 4 3 3" xfId="6196"/>
    <cellStyle name="Normal 84 4 3 3 2" xfId="15237"/>
    <cellStyle name="Normal 84 4 3 4" xfId="10724"/>
    <cellStyle name="Normal 84 4 4" xfId="4245"/>
    <cellStyle name="Normal 84 4 4 2" xfId="8759"/>
    <cellStyle name="Normal 84 4 4 2 2" xfId="17800"/>
    <cellStyle name="Normal 84 4 4 3" xfId="13287"/>
    <cellStyle name="Normal 84 4 5" xfId="5068"/>
    <cellStyle name="Normal 84 4 5 2" xfId="14109"/>
    <cellStyle name="Normal 84 4 6" xfId="9596"/>
    <cellStyle name="Normal 84 5" xfId="691"/>
    <cellStyle name="Normal 84 5 2" xfId="1861"/>
    <cellStyle name="Normal 84 5 2 2" xfId="4250"/>
    <cellStyle name="Normal 84 5 2 2 2" xfId="8764"/>
    <cellStyle name="Normal 84 5 2 2 2 2" xfId="17805"/>
    <cellStyle name="Normal 84 5 2 2 3" xfId="13292"/>
    <cellStyle name="Normal 84 5 2 3" xfId="6384"/>
    <cellStyle name="Normal 84 5 2 3 2" xfId="15425"/>
    <cellStyle name="Normal 84 5 2 4" xfId="10912"/>
    <cellStyle name="Normal 84 5 3" xfId="4249"/>
    <cellStyle name="Normal 84 5 3 2" xfId="8763"/>
    <cellStyle name="Normal 84 5 3 2 2" xfId="17804"/>
    <cellStyle name="Normal 84 5 3 3" xfId="13291"/>
    <cellStyle name="Normal 84 5 4" xfId="5256"/>
    <cellStyle name="Normal 84 5 4 2" xfId="14297"/>
    <cellStyle name="Normal 84 5 5" xfId="9784"/>
    <cellStyle name="Normal 84 6" xfId="1297"/>
    <cellStyle name="Normal 84 6 2" xfId="4251"/>
    <cellStyle name="Normal 84 6 2 2" xfId="8765"/>
    <cellStyle name="Normal 84 6 2 2 2" xfId="17806"/>
    <cellStyle name="Normal 84 6 2 3" xfId="13293"/>
    <cellStyle name="Normal 84 6 3" xfId="5820"/>
    <cellStyle name="Normal 84 6 3 2" xfId="14861"/>
    <cellStyle name="Normal 84 6 4" xfId="10348"/>
    <cellStyle name="Normal 84 7" xfId="4228"/>
    <cellStyle name="Normal 84 7 2" xfId="8742"/>
    <cellStyle name="Normal 84 7 2 2" xfId="17783"/>
    <cellStyle name="Normal 84 7 3" xfId="13270"/>
    <cellStyle name="Normal 84 8" xfId="4692"/>
    <cellStyle name="Normal 84 8 2" xfId="13733"/>
    <cellStyle name="Normal 84 9" xfId="9220"/>
    <cellStyle name="Normal 85" xfId="85"/>
    <cellStyle name="Normal 85 2" xfId="181"/>
    <cellStyle name="Normal 85 2 2" xfId="410"/>
    <cellStyle name="Normal 85 2 2 2" xfId="974"/>
    <cellStyle name="Normal 85 2 2 2 2" xfId="2144"/>
    <cellStyle name="Normal 85 2 2 2 2 2" xfId="4256"/>
    <cellStyle name="Normal 85 2 2 2 2 2 2" xfId="8770"/>
    <cellStyle name="Normal 85 2 2 2 2 2 2 2" xfId="17811"/>
    <cellStyle name="Normal 85 2 2 2 2 2 3" xfId="13298"/>
    <cellStyle name="Normal 85 2 2 2 2 3" xfId="6667"/>
    <cellStyle name="Normal 85 2 2 2 2 3 2" xfId="15708"/>
    <cellStyle name="Normal 85 2 2 2 2 4" xfId="11195"/>
    <cellStyle name="Normal 85 2 2 2 3" xfId="4255"/>
    <cellStyle name="Normal 85 2 2 2 3 2" xfId="8769"/>
    <cellStyle name="Normal 85 2 2 2 3 2 2" xfId="17810"/>
    <cellStyle name="Normal 85 2 2 2 3 3" xfId="13297"/>
    <cellStyle name="Normal 85 2 2 2 4" xfId="5539"/>
    <cellStyle name="Normal 85 2 2 2 4 2" xfId="14580"/>
    <cellStyle name="Normal 85 2 2 2 5" xfId="10067"/>
    <cellStyle name="Normal 85 2 2 3" xfId="1580"/>
    <cellStyle name="Normal 85 2 2 3 2" xfId="4257"/>
    <cellStyle name="Normal 85 2 2 3 2 2" xfId="8771"/>
    <cellStyle name="Normal 85 2 2 3 2 2 2" xfId="17812"/>
    <cellStyle name="Normal 85 2 2 3 2 3" xfId="13299"/>
    <cellStyle name="Normal 85 2 2 3 3" xfId="6103"/>
    <cellStyle name="Normal 85 2 2 3 3 2" xfId="15144"/>
    <cellStyle name="Normal 85 2 2 3 4" xfId="10631"/>
    <cellStyle name="Normal 85 2 2 4" xfId="4254"/>
    <cellStyle name="Normal 85 2 2 4 2" xfId="8768"/>
    <cellStyle name="Normal 85 2 2 4 2 2" xfId="17809"/>
    <cellStyle name="Normal 85 2 2 4 3" xfId="13296"/>
    <cellStyle name="Normal 85 2 2 5" xfId="4975"/>
    <cellStyle name="Normal 85 2 2 5 2" xfId="14016"/>
    <cellStyle name="Normal 85 2 2 6" xfId="9503"/>
    <cellStyle name="Normal 85 2 3" xfId="598"/>
    <cellStyle name="Normal 85 2 3 2" xfId="1162"/>
    <cellStyle name="Normal 85 2 3 2 2" xfId="2332"/>
    <cellStyle name="Normal 85 2 3 2 2 2" xfId="4260"/>
    <cellStyle name="Normal 85 2 3 2 2 2 2" xfId="8774"/>
    <cellStyle name="Normal 85 2 3 2 2 2 2 2" xfId="17815"/>
    <cellStyle name="Normal 85 2 3 2 2 2 3" xfId="13302"/>
    <cellStyle name="Normal 85 2 3 2 2 3" xfId="6855"/>
    <cellStyle name="Normal 85 2 3 2 2 3 2" xfId="15896"/>
    <cellStyle name="Normal 85 2 3 2 2 4" xfId="11383"/>
    <cellStyle name="Normal 85 2 3 2 3" xfId="4259"/>
    <cellStyle name="Normal 85 2 3 2 3 2" xfId="8773"/>
    <cellStyle name="Normal 85 2 3 2 3 2 2" xfId="17814"/>
    <cellStyle name="Normal 85 2 3 2 3 3" xfId="13301"/>
    <cellStyle name="Normal 85 2 3 2 4" xfId="5727"/>
    <cellStyle name="Normal 85 2 3 2 4 2" xfId="14768"/>
    <cellStyle name="Normal 85 2 3 2 5" xfId="10255"/>
    <cellStyle name="Normal 85 2 3 3" xfId="1768"/>
    <cellStyle name="Normal 85 2 3 3 2" xfId="4261"/>
    <cellStyle name="Normal 85 2 3 3 2 2" xfId="8775"/>
    <cellStyle name="Normal 85 2 3 3 2 2 2" xfId="17816"/>
    <cellStyle name="Normal 85 2 3 3 2 3" xfId="13303"/>
    <cellStyle name="Normal 85 2 3 3 3" xfId="6291"/>
    <cellStyle name="Normal 85 2 3 3 3 2" xfId="15332"/>
    <cellStyle name="Normal 85 2 3 3 4" xfId="10819"/>
    <cellStyle name="Normal 85 2 3 4" xfId="4258"/>
    <cellStyle name="Normal 85 2 3 4 2" xfId="8772"/>
    <cellStyle name="Normal 85 2 3 4 2 2" xfId="17813"/>
    <cellStyle name="Normal 85 2 3 4 3" xfId="13300"/>
    <cellStyle name="Normal 85 2 3 5" xfId="5163"/>
    <cellStyle name="Normal 85 2 3 5 2" xfId="14204"/>
    <cellStyle name="Normal 85 2 3 6" xfId="9691"/>
    <cellStyle name="Normal 85 2 4" xfId="786"/>
    <cellStyle name="Normal 85 2 4 2" xfId="1956"/>
    <cellStyle name="Normal 85 2 4 2 2" xfId="4263"/>
    <cellStyle name="Normal 85 2 4 2 2 2" xfId="8777"/>
    <cellStyle name="Normal 85 2 4 2 2 2 2" xfId="17818"/>
    <cellStyle name="Normal 85 2 4 2 2 3" xfId="13305"/>
    <cellStyle name="Normal 85 2 4 2 3" xfId="6479"/>
    <cellStyle name="Normal 85 2 4 2 3 2" xfId="15520"/>
    <cellStyle name="Normal 85 2 4 2 4" xfId="11007"/>
    <cellStyle name="Normal 85 2 4 3" xfId="4262"/>
    <cellStyle name="Normal 85 2 4 3 2" xfId="8776"/>
    <cellStyle name="Normal 85 2 4 3 2 2" xfId="17817"/>
    <cellStyle name="Normal 85 2 4 3 3" xfId="13304"/>
    <cellStyle name="Normal 85 2 4 4" xfId="5351"/>
    <cellStyle name="Normal 85 2 4 4 2" xfId="14392"/>
    <cellStyle name="Normal 85 2 4 5" xfId="9879"/>
    <cellStyle name="Normal 85 2 5" xfId="1392"/>
    <cellStyle name="Normal 85 2 5 2" xfId="4264"/>
    <cellStyle name="Normal 85 2 5 2 2" xfId="8778"/>
    <cellStyle name="Normal 85 2 5 2 2 2" xfId="17819"/>
    <cellStyle name="Normal 85 2 5 2 3" xfId="13306"/>
    <cellStyle name="Normal 85 2 5 3" xfId="5915"/>
    <cellStyle name="Normal 85 2 5 3 2" xfId="14956"/>
    <cellStyle name="Normal 85 2 5 4" xfId="10443"/>
    <cellStyle name="Normal 85 2 6" xfId="4253"/>
    <cellStyle name="Normal 85 2 6 2" xfId="8767"/>
    <cellStyle name="Normal 85 2 6 2 2" xfId="17808"/>
    <cellStyle name="Normal 85 2 6 3" xfId="13295"/>
    <cellStyle name="Normal 85 2 7" xfId="4787"/>
    <cellStyle name="Normal 85 2 7 2" xfId="13828"/>
    <cellStyle name="Normal 85 2 8" xfId="9315"/>
    <cellStyle name="Normal 85 3" xfId="316"/>
    <cellStyle name="Normal 85 3 2" xfId="880"/>
    <cellStyle name="Normal 85 3 2 2" xfId="2050"/>
    <cellStyle name="Normal 85 3 2 2 2" xfId="4267"/>
    <cellStyle name="Normal 85 3 2 2 2 2" xfId="8781"/>
    <cellStyle name="Normal 85 3 2 2 2 2 2" xfId="17822"/>
    <cellStyle name="Normal 85 3 2 2 2 3" xfId="13309"/>
    <cellStyle name="Normal 85 3 2 2 3" xfId="6573"/>
    <cellStyle name="Normal 85 3 2 2 3 2" xfId="15614"/>
    <cellStyle name="Normal 85 3 2 2 4" xfId="11101"/>
    <cellStyle name="Normal 85 3 2 3" xfId="4266"/>
    <cellStyle name="Normal 85 3 2 3 2" xfId="8780"/>
    <cellStyle name="Normal 85 3 2 3 2 2" xfId="17821"/>
    <cellStyle name="Normal 85 3 2 3 3" xfId="13308"/>
    <cellStyle name="Normal 85 3 2 4" xfId="5445"/>
    <cellStyle name="Normal 85 3 2 4 2" xfId="14486"/>
    <cellStyle name="Normal 85 3 2 5" xfId="9973"/>
    <cellStyle name="Normal 85 3 3" xfId="1486"/>
    <cellStyle name="Normal 85 3 3 2" xfId="4268"/>
    <cellStyle name="Normal 85 3 3 2 2" xfId="8782"/>
    <cellStyle name="Normal 85 3 3 2 2 2" xfId="17823"/>
    <cellStyle name="Normal 85 3 3 2 3" xfId="13310"/>
    <cellStyle name="Normal 85 3 3 3" xfId="6009"/>
    <cellStyle name="Normal 85 3 3 3 2" xfId="15050"/>
    <cellStyle name="Normal 85 3 3 4" xfId="10537"/>
    <cellStyle name="Normal 85 3 4" xfId="4265"/>
    <cellStyle name="Normal 85 3 4 2" xfId="8779"/>
    <cellStyle name="Normal 85 3 4 2 2" xfId="17820"/>
    <cellStyle name="Normal 85 3 4 3" xfId="13307"/>
    <cellStyle name="Normal 85 3 5" xfId="4881"/>
    <cellStyle name="Normal 85 3 5 2" xfId="13922"/>
    <cellStyle name="Normal 85 3 6" xfId="9409"/>
    <cellStyle name="Normal 85 4" xfId="504"/>
    <cellStyle name="Normal 85 4 2" xfId="1068"/>
    <cellStyle name="Normal 85 4 2 2" xfId="2238"/>
    <cellStyle name="Normal 85 4 2 2 2" xfId="4271"/>
    <cellStyle name="Normal 85 4 2 2 2 2" xfId="8785"/>
    <cellStyle name="Normal 85 4 2 2 2 2 2" xfId="17826"/>
    <cellStyle name="Normal 85 4 2 2 2 3" xfId="13313"/>
    <cellStyle name="Normal 85 4 2 2 3" xfId="6761"/>
    <cellStyle name="Normal 85 4 2 2 3 2" xfId="15802"/>
    <cellStyle name="Normal 85 4 2 2 4" xfId="11289"/>
    <cellStyle name="Normal 85 4 2 3" xfId="4270"/>
    <cellStyle name="Normal 85 4 2 3 2" xfId="8784"/>
    <cellStyle name="Normal 85 4 2 3 2 2" xfId="17825"/>
    <cellStyle name="Normal 85 4 2 3 3" xfId="13312"/>
    <cellStyle name="Normal 85 4 2 4" xfId="5633"/>
    <cellStyle name="Normal 85 4 2 4 2" xfId="14674"/>
    <cellStyle name="Normal 85 4 2 5" xfId="10161"/>
    <cellStyle name="Normal 85 4 3" xfId="1674"/>
    <cellStyle name="Normal 85 4 3 2" xfId="4272"/>
    <cellStyle name="Normal 85 4 3 2 2" xfId="8786"/>
    <cellStyle name="Normal 85 4 3 2 2 2" xfId="17827"/>
    <cellStyle name="Normal 85 4 3 2 3" xfId="13314"/>
    <cellStyle name="Normal 85 4 3 3" xfId="6197"/>
    <cellStyle name="Normal 85 4 3 3 2" xfId="15238"/>
    <cellStyle name="Normal 85 4 3 4" xfId="10725"/>
    <cellStyle name="Normal 85 4 4" xfId="4269"/>
    <cellStyle name="Normal 85 4 4 2" xfId="8783"/>
    <cellStyle name="Normal 85 4 4 2 2" xfId="17824"/>
    <cellStyle name="Normal 85 4 4 3" xfId="13311"/>
    <cellStyle name="Normal 85 4 5" xfId="5069"/>
    <cellStyle name="Normal 85 4 5 2" xfId="14110"/>
    <cellStyle name="Normal 85 4 6" xfId="9597"/>
    <cellStyle name="Normal 85 5" xfId="692"/>
    <cellStyle name="Normal 85 5 2" xfId="1862"/>
    <cellStyle name="Normal 85 5 2 2" xfId="4274"/>
    <cellStyle name="Normal 85 5 2 2 2" xfId="8788"/>
    <cellStyle name="Normal 85 5 2 2 2 2" xfId="17829"/>
    <cellStyle name="Normal 85 5 2 2 3" xfId="13316"/>
    <cellStyle name="Normal 85 5 2 3" xfId="6385"/>
    <cellStyle name="Normal 85 5 2 3 2" xfId="15426"/>
    <cellStyle name="Normal 85 5 2 4" xfId="10913"/>
    <cellStyle name="Normal 85 5 3" xfId="4273"/>
    <cellStyle name="Normal 85 5 3 2" xfId="8787"/>
    <cellStyle name="Normal 85 5 3 2 2" xfId="17828"/>
    <cellStyle name="Normal 85 5 3 3" xfId="13315"/>
    <cellStyle name="Normal 85 5 4" xfId="5257"/>
    <cellStyle name="Normal 85 5 4 2" xfId="14298"/>
    <cellStyle name="Normal 85 5 5" xfId="9785"/>
    <cellStyle name="Normal 85 6" xfId="1298"/>
    <cellStyle name="Normal 85 6 2" xfId="4275"/>
    <cellStyle name="Normal 85 6 2 2" xfId="8789"/>
    <cellStyle name="Normal 85 6 2 2 2" xfId="17830"/>
    <cellStyle name="Normal 85 6 2 3" xfId="13317"/>
    <cellStyle name="Normal 85 6 3" xfId="5821"/>
    <cellStyle name="Normal 85 6 3 2" xfId="14862"/>
    <cellStyle name="Normal 85 6 4" xfId="10349"/>
    <cellStyle name="Normal 85 7" xfId="4252"/>
    <cellStyle name="Normal 85 7 2" xfId="8766"/>
    <cellStyle name="Normal 85 7 2 2" xfId="17807"/>
    <cellStyle name="Normal 85 7 3" xfId="13294"/>
    <cellStyle name="Normal 85 8" xfId="4693"/>
    <cellStyle name="Normal 85 8 2" xfId="13734"/>
    <cellStyle name="Normal 85 9" xfId="9221"/>
    <cellStyle name="Normal 86" xfId="86"/>
    <cellStyle name="Normal 86 2" xfId="182"/>
    <cellStyle name="Normal 86 2 2" xfId="411"/>
    <cellStyle name="Normal 86 2 2 2" xfId="975"/>
    <cellStyle name="Normal 86 2 2 2 2" xfId="2145"/>
    <cellStyle name="Normal 86 2 2 2 2 2" xfId="4280"/>
    <cellStyle name="Normal 86 2 2 2 2 2 2" xfId="8794"/>
    <cellStyle name="Normal 86 2 2 2 2 2 2 2" xfId="17835"/>
    <cellStyle name="Normal 86 2 2 2 2 2 3" xfId="13322"/>
    <cellStyle name="Normal 86 2 2 2 2 3" xfId="6668"/>
    <cellStyle name="Normal 86 2 2 2 2 3 2" xfId="15709"/>
    <cellStyle name="Normal 86 2 2 2 2 4" xfId="11196"/>
    <cellStyle name="Normal 86 2 2 2 3" xfId="4279"/>
    <cellStyle name="Normal 86 2 2 2 3 2" xfId="8793"/>
    <cellStyle name="Normal 86 2 2 2 3 2 2" xfId="17834"/>
    <cellStyle name="Normal 86 2 2 2 3 3" xfId="13321"/>
    <cellStyle name="Normal 86 2 2 2 4" xfId="5540"/>
    <cellStyle name="Normal 86 2 2 2 4 2" xfId="14581"/>
    <cellStyle name="Normal 86 2 2 2 5" xfId="10068"/>
    <cellStyle name="Normal 86 2 2 3" xfId="1581"/>
    <cellStyle name="Normal 86 2 2 3 2" xfId="4281"/>
    <cellStyle name="Normal 86 2 2 3 2 2" xfId="8795"/>
    <cellStyle name="Normal 86 2 2 3 2 2 2" xfId="17836"/>
    <cellStyle name="Normal 86 2 2 3 2 3" xfId="13323"/>
    <cellStyle name="Normal 86 2 2 3 3" xfId="6104"/>
    <cellStyle name="Normal 86 2 2 3 3 2" xfId="15145"/>
    <cellStyle name="Normal 86 2 2 3 4" xfId="10632"/>
    <cellStyle name="Normal 86 2 2 4" xfId="4278"/>
    <cellStyle name="Normal 86 2 2 4 2" xfId="8792"/>
    <cellStyle name="Normal 86 2 2 4 2 2" xfId="17833"/>
    <cellStyle name="Normal 86 2 2 4 3" xfId="13320"/>
    <cellStyle name="Normal 86 2 2 5" xfId="4976"/>
    <cellStyle name="Normal 86 2 2 5 2" xfId="14017"/>
    <cellStyle name="Normal 86 2 2 6" xfId="9504"/>
    <cellStyle name="Normal 86 2 3" xfId="599"/>
    <cellStyle name="Normal 86 2 3 2" xfId="1163"/>
    <cellStyle name="Normal 86 2 3 2 2" xfId="2333"/>
    <cellStyle name="Normal 86 2 3 2 2 2" xfId="4284"/>
    <cellStyle name="Normal 86 2 3 2 2 2 2" xfId="8798"/>
    <cellStyle name="Normal 86 2 3 2 2 2 2 2" xfId="17839"/>
    <cellStyle name="Normal 86 2 3 2 2 2 3" xfId="13326"/>
    <cellStyle name="Normal 86 2 3 2 2 3" xfId="6856"/>
    <cellStyle name="Normal 86 2 3 2 2 3 2" xfId="15897"/>
    <cellStyle name="Normal 86 2 3 2 2 4" xfId="11384"/>
    <cellStyle name="Normal 86 2 3 2 3" xfId="4283"/>
    <cellStyle name="Normal 86 2 3 2 3 2" xfId="8797"/>
    <cellStyle name="Normal 86 2 3 2 3 2 2" xfId="17838"/>
    <cellStyle name="Normal 86 2 3 2 3 3" xfId="13325"/>
    <cellStyle name="Normal 86 2 3 2 4" xfId="5728"/>
    <cellStyle name="Normal 86 2 3 2 4 2" xfId="14769"/>
    <cellStyle name="Normal 86 2 3 2 5" xfId="10256"/>
    <cellStyle name="Normal 86 2 3 3" xfId="1769"/>
    <cellStyle name="Normal 86 2 3 3 2" xfId="4285"/>
    <cellStyle name="Normal 86 2 3 3 2 2" xfId="8799"/>
    <cellStyle name="Normal 86 2 3 3 2 2 2" xfId="17840"/>
    <cellStyle name="Normal 86 2 3 3 2 3" xfId="13327"/>
    <cellStyle name="Normal 86 2 3 3 3" xfId="6292"/>
    <cellStyle name="Normal 86 2 3 3 3 2" xfId="15333"/>
    <cellStyle name="Normal 86 2 3 3 4" xfId="10820"/>
    <cellStyle name="Normal 86 2 3 4" xfId="4282"/>
    <cellStyle name="Normal 86 2 3 4 2" xfId="8796"/>
    <cellStyle name="Normal 86 2 3 4 2 2" xfId="17837"/>
    <cellStyle name="Normal 86 2 3 4 3" xfId="13324"/>
    <cellStyle name="Normal 86 2 3 5" xfId="5164"/>
    <cellStyle name="Normal 86 2 3 5 2" xfId="14205"/>
    <cellStyle name="Normal 86 2 3 6" xfId="9692"/>
    <cellStyle name="Normal 86 2 4" xfId="787"/>
    <cellStyle name="Normal 86 2 4 2" xfId="1957"/>
    <cellStyle name="Normal 86 2 4 2 2" xfId="4287"/>
    <cellStyle name="Normal 86 2 4 2 2 2" xfId="8801"/>
    <cellStyle name="Normal 86 2 4 2 2 2 2" xfId="17842"/>
    <cellStyle name="Normal 86 2 4 2 2 3" xfId="13329"/>
    <cellStyle name="Normal 86 2 4 2 3" xfId="6480"/>
    <cellStyle name="Normal 86 2 4 2 3 2" xfId="15521"/>
    <cellStyle name="Normal 86 2 4 2 4" xfId="11008"/>
    <cellStyle name="Normal 86 2 4 3" xfId="4286"/>
    <cellStyle name="Normal 86 2 4 3 2" xfId="8800"/>
    <cellStyle name="Normal 86 2 4 3 2 2" xfId="17841"/>
    <cellStyle name="Normal 86 2 4 3 3" xfId="13328"/>
    <cellStyle name="Normal 86 2 4 4" xfId="5352"/>
    <cellStyle name="Normal 86 2 4 4 2" xfId="14393"/>
    <cellStyle name="Normal 86 2 4 5" xfId="9880"/>
    <cellStyle name="Normal 86 2 5" xfId="1393"/>
    <cellStyle name="Normal 86 2 5 2" xfId="4288"/>
    <cellStyle name="Normal 86 2 5 2 2" xfId="8802"/>
    <cellStyle name="Normal 86 2 5 2 2 2" xfId="17843"/>
    <cellStyle name="Normal 86 2 5 2 3" xfId="13330"/>
    <cellStyle name="Normal 86 2 5 3" xfId="5916"/>
    <cellStyle name="Normal 86 2 5 3 2" xfId="14957"/>
    <cellStyle name="Normal 86 2 5 4" xfId="10444"/>
    <cellStyle name="Normal 86 2 6" xfId="4277"/>
    <cellStyle name="Normal 86 2 6 2" xfId="8791"/>
    <cellStyle name="Normal 86 2 6 2 2" xfId="17832"/>
    <cellStyle name="Normal 86 2 6 3" xfId="13319"/>
    <cellStyle name="Normal 86 2 7" xfId="4788"/>
    <cellStyle name="Normal 86 2 7 2" xfId="13829"/>
    <cellStyle name="Normal 86 2 8" xfId="9316"/>
    <cellStyle name="Normal 86 3" xfId="317"/>
    <cellStyle name="Normal 86 3 2" xfId="881"/>
    <cellStyle name="Normal 86 3 2 2" xfId="2051"/>
    <cellStyle name="Normal 86 3 2 2 2" xfId="4291"/>
    <cellStyle name="Normal 86 3 2 2 2 2" xfId="8805"/>
    <cellStyle name="Normal 86 3 2 2 2 2 2" xfId="17846"/>
    <cellStyle name="Normal 86 3 2 2 2 3" xfId="13333"/>
    <cellStyle name="Normal 86 3 2 2 3" xfId="6574"/>
    <cellStyle name="Normal 86 3 2 2 3 2" xfId="15615"/>
    <cellStyle name="Normal 86 3 2 2 4" xfId="11102"/>
    <cellStyle name="Normal 86 3 2 3" xfId="4290"/>
    <cellStyle name="Normal 86 3 2 3 2" xfId="8804"/>
    <cellStyle name="Normal 86 3 2 3 2 2" xfId="17845"/>
    <cellStyle name="Normal 86 3 2 3 3" xfId="13332"/>
    <cellStyle name="Normal 86 3 2 4" xfId="5446"/>
    <cellStyle name="Normal 86 3 2 4 2" xfId="14487"/>
    <cellStyle name="Normal 86 3 2 5" xfId="9974"/>
    <cellStyle name="Normal 86 3 3" xfId="1487"/>
    <cellStyle name="Normal 86 3 3 2" xfId="4292"/>
    <cellStyle name="Normal 86 3 3 2 2" xfId="8806"/>
    <cellStyle name="Normal 86 3 3 2 2 2" xfId="17847"/>
    <cellStyle name="Normal 86 3 3 2 3" xfId="13334"/>
    <cellStyle name="Normal 86 3 3 3" xfId="6010"/>
    <cellStyle name="Normal 86 3 3 3 2" xfId="15051"/>
    <cellStyle name="Normal 86 3 3 4" xfId="10538"/>
    <cellStyle name="Normal 86 3 4" xfId="4289"/>
    <cellStyle name="Normal 86 3 4 2" xfId="8803"/>
    <cellStyle name="Normal 86 3 4 2 2" xfId="17844"/>
    <cellStyle name="Normal 86 3 4 3" xfId="13331"/>
    <cellStyle name="Normal 86 3 5" xfId="4882"/>
    <cellStyle name="Normal 86 3 5 2" xfId="13923"/>
    <cellStyle name="Normal 86 3 6" xfId="9410"/>
    <cellStyle name="Normal 86 4" xfId="505"/>
    <cellStyle name="Normal 86 4 2" xfId="1069"/>
    <cellStyle name="Normal 86 4 2 2" xfId="2239"/>
    <cellStyle name="Normal 86 4 2 2 2" xfId="4295"/>
    <cellStyle name="Normal 86 4 2 2 2 2" xfId="8809"/>
    <cellStyle name="Normal 86 4 2 2 2 2 2" xfId="17850"/>
    <cellStyle name="Normal 86 4 2 2 2 3" xfId="13337"/>
    <cellStyle name="Normal 86 4 2 2 3" xfId="6762"/>
    <cellStyle name="Normal 86 4 2 2 3 2" xfId="15803"/>
    <cellStyle name="Normal 86 4 2 2 4" xfId="11290"/>
    <cellStyle name="Normal 86 4 2 3" xfId="4294"/>
    <cellStyle name="Normal 86 4 2 3 2" xfId="8808"/>
    <cellStyle name="Normal 86 4 2 3 2 2" xfId="17849"/>
    <cellStyle name="Normal 86 4 2 3 3" xfId="13336"/>
    <cellStyle name="Normal 86 4 2 4" xfId="5634"/>
    <cellStyle name="Normal 86 4 2 4 2" xfId="14675"/>
    <cellStyle name="Normal 86 4 2 5" xfId="10162"/>
    <cellStyle name="Normal 86 4 3" xfId="1675"/>
    <cellStyle name="Normal 86 4 3 2" xfId="4296"/>
    <cellStyle name="Normal 86 4 3 2 2" xfId="8810"/>
    <cellStyle name="Normal 86 4 3 2 2 2" xfId="17851"/>
    <cellStyle name="Normal 86 4 3 2 3" xfId="13338"/>
    <cellStyle name="Normal 86 4 3 3" xfId="6198"/>
    <cellStyle name="Normal 86 4 3 3 2" xfId="15239"/>
    <cellStyle name="Normal 86 4 3 4" xfId="10726"/>
    <cellStyle name="Normal 86 4 4" xfId="4293"/>
    <cellStyle name="Normal 86 4 4 2" xfId="8807"/>
    <cellStyle name="Normal 86 4 4 2 2" xfId="17848"/>
    <cellStyle name="Normal 86 4 4 3" xfId="13335"/>
    <cellStyle name="Normal 86 4 5" xfId="5070"/>
    <cellStyle name="Normal 86 4 5 2" xfId="14111"/>
    <cellStyle name="Normal 86 4 6" xfId="9598"/>
    <cellStyle name="Normal 86 5" xfId="693"/>
    <cellStyle name="Normal 86 5 2" xfId="1863"/>
    <cellStyle name="Normal 86 5 2 2" xfId="4298"/>
    <cellStyle name="Normal 86 5 2 2 2" xfId="8812"/>
    <cellStyle name="Normal 86 5 2 2 2 2" xfId="17853"/>
    <cellStyle name="Normal 86 5 2 2 3" xfId="13340"/>
    <cellStyle name="Normal 86 5 2 3" xfId="6386"/>
    <cellStyle name="Normal 86 5 2 3 2" xfId="15427"/>
    <cellStyle name="Normal 86 5 2 4" xfId="10914"/>
    <cellStyle name="Normal 86 5 3" xfId="4297"/>
    <cellStyle name="Normal 86 5 3 2" xfId="8811"/>
    <cellStyle name="Normal 86 5 3 2 2" xfId="17852"/>
    <cellStyle name="Normal 86 5 3 3" xfId="13339"/>
    <cellStyle name="Normal 86 5 4" xfId="5258"/>
    <cellStyle name="Normal 86 5 4 2" xfId="14299"/>
    <cellStyle name="Normal 86 5 5" xfId="9786"/>
    <cellStyle name="Normal 86 6" xfId="1299"/>
    <cellStyle name="Normal 86 6 2" xfId="4299"/>
    <cellStyle name="Normal 86 6 2 2" xfId="8813"/>
    <cellStyle name="Normal 86 6 2 2 2" xfId="17854"/>
    <cellStyle name="Normal 86 6 2 3" xfId="13341"/>
    <cellStyle name="Normal 86 6 3" xfId="5822"/>
    <cellStyle name="Normal 86 6 3 2" xfId="14863"/>
    <cellStyle name="Normal 86 6 4" xfId="10350"/>
    <cellStyle name="Normal 86 7" xfId="4276"/>
    <cellStyle name="Normal 86 7 2" xfId="8790"/>
    <cellStyle name="Normal 86 7 2 2" xfId="17831"/>
    <cellStyle name="Normal 86 7 3" xfId="13318"/>
    <cellStyle name="Normal 86 8" xfId="4694"/>
    <cellStyle name="Normal 86 8 2" xfId="13735"/>
    <cellStyle name="Normal 86 9" xfId="9222"/>
    <cellStyle name="Normal 87" xfId="87"/>
    <cellStyle name="Normal 87 2" xfId="183"/>
    <cellStyle name="Normal 87 2 2" xfId="412"/>
    <cellStyle name="Normal 87 2 2 2" xfId="976"/>
    <cellStyle name="Normal 87 2 2 2 2" xfId="2146"/>
    <cellStyle name="Normal 87 2 2 2 2 2" xfId="4304"/>
    <cellStyle name="Normal 87 2 2 2 2 2 2" xfId="8818"/>
    <cellStyle name="Normal 87 2 2 2 2 2 2 2" xfId="17859"/>
    <cellStyle name="Normal 87 2 2 2 2 2 3" xfId="13346"/>
    <cellStyle name="Normal 87 2 2 2 2 3" xfId="6669"/>
    <cellStyle name="Normal 87 2 2 2 2 3 2" xfId="15710"/>
    <cellStyle name="Normal 87 2 2 2 2 4" xfId="11197"/>
    <cellStyle name="Normal 87 2 2 2 3" xfId="4303"/>
    <cellStyle name="Normal 87 2 2 2 3 2" xfId="8817"/>
    <cellStyle name="Normal 87 2 2 2 3 2 2" xfId="17858"/>
    <cellStyle name="Normal 87 2 2 2 3 3" xfId="13345"/>
    <cellStyle name="Normal 87 2 2 2 4" xfId="5541"/>
    <cellStyle name="Normal 87 2 2 2 4 2" xfId="14582"/>
    <cellStyle name="Normal 87 2 2 2 5" xfId="10069"/>
    <cellStyle name="Normal 87 2 2 3" xfId="1582"/>
    <cellStyle name="Normal 87 2 2 3 2" xfId="4305"/>
    <cellStyle name="Normal 87 2 2 3 2 2" xfId="8819"/>
    <cellStyle name="Normal 87 2 2 3 2 2 2" xfId="17860"/>
    <cellStyle name="Normal 87 2 2 3 2 3" xfId="13347"/>
    <cellStyle name="Normal 87 2 2 3 3" xfId="6105"/>
    <cellStyle name="Normal 87 2 2 3 3 2" xfId="15146"/>
    <cellStyle name="Normal 87 2 2 3 4" xfId="10633"/>
    <cellStyle name="Normal 87 2 2 4" xfId="4302"/>
    <cellStyle name="Normal 87 2 2 4 2" xfId="8816"/>
    <cellStyle name="Normal 87 2 2 4 2 2" xfId="17857"/>
    <cellStyle name="Normal 87 2 2 4 3" xfId="13344"/>
    <cellStyle name="Normal 87 2 2 5" xfId="4977"/>
    <cellStyle name="Normal 87 2 2 5 2" xfId="14018"/>
    <cellStyle name="Normal 87 2 2 6" xfId="9505"/>
    <cellStyle name="Normal 87 2 3" xfId="600"/>
    <cellStyle name="Normal 87 2 3 2" xfId="1164"/>
    <cellStyle name="Normal 87 2 3 2 2" xfId="2334"/>
    <cellStyle name="Normal 87 2 3 2 2 2" xfId="4308"/>
    <cellStyle name="Normal 87 2 3 2 2 2 2" xfId="8822"/>
    <cellStyle name="Normal 87 2 3 2 2 2 2 2" xfId="17863"/>
    <cellStyle name="Normal 87 2 3 2 2 2 3" xfId="13350"/>
    <cellStyle name="Normal 87 2 3 2 2 3" xfId="6857"/>
    <cellStyle name="Normal 87 2 3 2 2 3 2" xfId="15898"/>
    <cellStyle name="Normal 87 2 3 2 2 4" xfId="11385"/>
    <cellStyle name="Normal 87 2 3 2 3" xfId="4307"/>
    <cellStyle name="Normal 87 2 3 2 3 2" xfId="8821"/>
    <cellStyle name="Normal 87 2 3 2 3 2 2" xfId="17862"/>
    <cellStyle name="Normal 87 2 3 2 3 3" xfId="13349"/>
    <cellStyle name="Normal 87 2 3 2 4" xfId="5729"/>
    <cellStyle name="Normal 87 2 3 2 4 2" xfId="14770"/>
    <cellStyle name="Normal 87 2 3 2 5" xfId="10257"/>
    <cellStyle name="Normal 87 2 3 3" xfId="1770"/>
    <cellStyle name="Normal 87 2 3 3 2" xfId="4309"/>
    <cellStyle name="Normal 87 2 3 3 2 2" xfId="8823"/>
    <cellStyle name="Normal 87 2 3 3 2 2 2" xfId="17864"/>
    <cellStyle name="Normal 87 2 3 3 2 3" xfId="13351"/>
    <cellStyle name="Normal 87 2 3 3 3" xfId="6293"/>
    <cellStyle name="Normal 87 2 3 3 3 2" xfId="15334"/>
    <cellStyle name="Normal 87 2 3 3 4" xfId="10821"/>
    <cellStyle name="Normal 87 2 3 4" xfId="4306"/>
    <cellStyle name="Normal 87 2 3 4 2" xfId="8820"/>
    <cellStyle name="Normal 87 2 3 4 2 2" xfId="17861"/>
    <cellStyle name="Normal 87 2 3 4 3" xfId="13348"/>
    <cellStyle name="Normal 87 2 3 5" xfId="5165"/>
    <cellStyle name="Normal 87 2 3 5 2" xfId="14206"/>
    <cellStyle name="Normal 87 2 3 6" xfId="9693"/>
    <cellStyle name="Normal 87 2 4" xfId="788"/>
    <cellStyle name="Normal 87 2 4 2" xfId="1958"/>
    <cellStyle name="Normal 87 2 4 2 2" xfId="4311"/>
    <cellStyle name="Normal 87 2 4 2 2 2" xfId="8825"/>
    <cellStyle name="Normal 87 2 4 2 2 2 2" xfId="17866"/>
    <cellStyle name="Normal 87 2 4 2 2 3" xfId="13353"/>
    <cellStyle name="Normal 87 2 4 2 3" xfId="6481"/>
    <cellStyle name="Normal 87 2 4 2 3 2" xfId="15522"/>
    <cellStyle name="Normal 87 2 4 2 4" xfId="11009"/>
    <cellStyle name="Normal 87 2 4 3" xfId="4310"/>
    <cellStyle name="Normal 87 2 4 3 2" xfId="8824"/>
    <cellStyle name="Normal 87 2 4 3 2 2" xfId="17865"/>
    <cellStyle name="Normal 87 2 4 3 3" xfId="13352"/>
    <cellStyle name="Normal 87 2 4 4" xfId="5353"/>
    <cellStyle name="Normal 87 2 4 4 2" xfId="14394"/>
    <cellStyle name="Normal 87 2 4 5" xfId="9881"/>
    <cellStyle name="Normal 87 2 5" xfId="1394"/>
    <cellStyle name="Normal 87 2 5 2" xfId="4312"/>
    <cellStyle name="Normal 87 2 5 2 2" xfId="8826"/>
    <cellStyle name="Normal 87 2 5 2 2 2" xfId="17867"/>
    <cellStyle name="Normal 87 2 5 2 3" xfId="13354"/>
    <cellStyle name="Normal 87 2 5 3" xfId="5917"/>
    <cellStyle name="Normal 87 2 5 3 2" xfId="14958"/>
    <cellStyle name="Normal 87 2 5 4" xfId="10445"/>
    <cellStyle name="Normal 87 2 6" xfId="4301"/>
    <cellStyle name="Normal 87 2 6 2" xfId="8815"/>
    <cellStyle name="Normal 87 2 6 2 2" xfId="17856"/>
    <cellStyle name="Normal 87 2 6 3" xfId="13343"/>
    <cellStyle name="Normal 87 2 7" xfId="4789"/>
    <cellStyle name="Normal 87 2 7 2" xfId="13830"/>
    <cellStyle name="Normal 87 2 8" xfId="9317"/>
    <cellStyle name="Normal 87 3" xfId="318"/>
    <cellStyle name="Normal 87 3 2" xfId="882"/>
    <cellStyle name="Normal 87 3 2 2" xfId="2052"/>
    <cellStyle name="Normal 87 3 2 2 2" xfId="4315"/>
    <cellStyle name="Normal 87 3 2 2 2 2" xfId="8829"/>
    <cellStyle name="Normal 87 3 2 2 2 2 2" xfId="17870"/>
    <cellStyle name="Normal 87 3 2 2 2 3" xfId="13357"/>
    <cellStyle name="Normal 87 3 2 2 3" xfId="6575"/>
    <cellStyle name="Normal 87 3 2 2 3 2" xfId="15616"/>
    <cellStyle name="Normal 87 3 2 2 4" xfId="11103"/>
    <cellStyle name="Normal 87 3 2 3" xfId="4314"/>
    <cellStyle name="Normal 87 3 2 3 2" xfId="8828"/>
    <cellStyle name="Normal 87 3 2 3 2 2" xfId="17869"/>
    <cellStyle name="Normal 87 3 2 3 3" xfId="13356"/>
    <cellStyle name="Normal 87 3 2 4" xfId="5447"/>
    <cellStyle name="Normal 87 3 2 4 2" xfId="14488"/>
    <cellStyle name="Normal 87 3 2 5" xfId="9975"/>
    <cellStyle name="Normal 87 3 3" xfId="1488"/>
    <cellStyle name="Normal 87 3 3 2" xfId="4316"/>
    <cellStyle name="Normal 87 3 3 2 2" xfId="8830"/>
    <cellStyle name="Normal 87 3 3 2 2 2" xfId="17871"/>
    <cellStyle name="Normal 87 3 3 2 3" xfId="13358"/>
    <cellStyle name="Normal 87 3 3 3" xfId="6011"/>
    <cellStyle name="Normal 87 3 3 3 2" xfId="15052"/>
    <cellStyle name="Normal 87 3 3 4" xfId="10539"/>
    <cellStyle name="Normal 87 3 4" xfId="4313"/>
    <cellStyle name="Normal 87 3 4 2" xfId="8827"/>
    <cellStyle name="Normal 87 3 4 2 2" xfId="17868"/>
    <cellStyle name="Normal 87 3 4 3" xfId="13355"/>
    <cellStyle name="Normal 87 3 5" xfId="4883"/>
    <cellStyle name="Normal 87 3 5 2" xfId="13924"/>
    <cellStyle name="Normal 87 3 6" xfId="9411"/>
    <cellStyle name="Normal 87 4" xfId="506"/>
    <cellStyle name="Normal 87 4 2" xfId="1070"/>
    <cellStyle name="Normal 87 4 2 2" xfId="2240"/>
    <cellStyle name="Normal 87 4 2 2 2" xfId="4319"/>
    <cellStyle name="Normal 87 4 2 2 2 2" xfId="8833"/>
    <cellStyle name="Normal 87 4 2 2 2 2 2" xfId="17874"/>
    <cellStyle name="Normal 87 4 2 2 2 3" xfId="13361"/>
    <cellStyle name="Normal 87 4 2 2 3" xfId="6763"/>
    <cellStyle name="Normal 87 4 2 2 3 2" xfId="15804"/>
    <cellStyle name="Normal 87 4 2 2 4" xfId="11291"/>
    <cellStyle name="Normal 87 4 2 3" xfId="4318"/>
    <cellStyle name="Normal 87 4 2 3 2" xfId="8832"/>
    <cellStyle name="Normal 87 4 2 3 2 2" xfId="17873"/>
    <cellStyle name="Normal 87 4 2 3 3" xfId="13360"/>
    <cellStyle name="Normal 87 4 2 4" xfId="5635"/>
    <cellStyle name="Normal 87 4 2 4 2" xfId="14676"/>
    <cellStyle name="Normal 87 4 2 5" xfId="10163"/>
    <cellStyle name="Normal 87 4 3" xfId="1676"/>
    <cellStyle name="Normal 87 4 3 2" xfId="4320"/>
    <cellStyle name="Normal 87 4 3 2 2" xfId="8834"/>
    <cellStyle name="Normal 87 4 3 2 2 2" xfId="17875"/>
    <cellStyle name="Normal 87 4 3 2 3" xfId="13362"/>
    <cellStyle name="Normal 87 4 3 3" xfId="6199"/>
    <cellStyle name="Normal 87 4 3 3 2" xfId="15240"/>
    <cellStyle name="Normal 87 4 3 4" xfId="10727"/>
    <cellStyle name="Normal 87 4 4" xfId="4317"/>
    <cellStyle name="Normal 87 4 4 2" xfId="8831"/>
    <cellStyle name="Normal 87 4 4 2 2" xfId="17872"/>
    <cellStyle name="Normal 87 4 4 3" xfId="13359"/>
    <cellStyle name="Normal 87 4 5" xfId="5071"/>
    <cellStyle name="Normal 87 4 5 2" xfId="14112"/>
    <cellStyle name="Normal 87 4 6" xfId="9599"/>
    <cellStyle name="Normal 87 5" xfId="694"/>
    <cellStyle name="Normal 87 5 2" xfId="1864"/>
    <cellStyle name="Normal 87 5 2 2" xfId="4322"/>
    <cellStyle name="Normal 87 5 2 2 2" xfId="8836"/>
    <cellStyle name="Normal 87 5 2 2 2 2" xfId="17877"/>
    <cellStyle name="Normal 87 5 2 2 3" xfId="13364"/>
    <cellStyle name="Normal 87 5 2 3" xfId="6387"/>
    <cellStyle name="Normal 87 5 2 3 2" xfId="15428"/>
    <cellStyle name="Normal 87 5 2 4" xfId="10915"/>
    <cellStyle name="Normal 87 5 3" xfId="4321"/>
    <cellStyle name="Normal 87 5 3 2" xfId="8835"/>
    <cellStyle name="Normal 87 5 3 2 2" xfId="17876"/>
    <cellStyle name="Normal 87 5 3 3" xfId="13363"/>
    <cellStyle name="Normal 87 5 4" xfId="5259"/>
    <cellStyle name="Normal 87 5 4 2" xfId="14300"/>
    <cellStyle name="Normal 87 5 5" xfId="9787"/>
    <cellStyle name="Normal 87 6" xfId="1300"/>
    <cellStyle name="Normal 87 6 2" xfId="4323"/>
    <cellStyle name="Normal 87 6 2 2" xfId="8837"/>
    <cellStyle name="Normal 87 6 2 2 2" xfId="17878"/>
    <cellStyle name="Normal 87 6 2 3" xfId="13365"/>
    <cellStyle name="Normal 87 6 3" xfId="5823"/>
    <cellStyle name="Normal 87 6 3 2" xfId="14864"/>
    <cellStyle name="Normal 87 6 4" xfId="10351"/>
    <cellStyle name="Normal 87 7" xfId="4300"/>
    <cellStyle name="Normal 87 7 2" xfId="8814"/>
    <cellStyle name="Normal 87 7 2 2" xfId="17855"/>
    <cellStyle name="Normal 87 7 3" xfId="13342"/>
    <cellStyle name="Normal 87 8" xfId="4695"/>
    <cellStyle name="Normal 87 8 2" xfId="13736"/>
    <cellStyle name="Normal 87 9" xfId="9223"/>
    <cellStyle name="Normal 88" xfId="88"/>
    <cellStyle name="Normal 88 2" xfId="184"/>
    <cellStyle name="Normal 88 2 2" xfId="413"/>
    <cellStyle name="Normal 88 2 2 2" xfId="977"/>
    <cellStyle name="Normal 88 2 2 2 2" xfId="2147"/>
    <cellStyle name="Normal 88 2 2 2 2 2" xfId="4328"/>
    <cellStyle name="Normal 88 2 2 2 2 2 2" xfId="8842"/>
    <cellStyle name="Normal 88 2 2 2 2 2 2 2" xfId="17883"/>
    <cellStyle name="Normal 88 2 2 2 2 2 3" xfId="13370"/>
    <cellStyle name="Normal 88 2 2 2 2 3" xfId="6670"/>
    <cellStyle name="Normal 88 2 2 2 2 3 2" xfId="15711"/>
    <cellStyle name="Normal 88 2 2 2 2 4" xfId="11198"/>
    <cellStyle name="Normal 88 2 2 2 3" xfId="4327"/>
    <cellStyle name="Normal 88 2 2 2 3 2" xfId="8841"/>
    <cellStyle name="Normal 88 2 2 2 3 2 2" xfId="17882"/>
    <cellStyle name="Normal 88 2 2 2 3 3" xfId="13369"/>
    <cellStyle name="Normal 88 2 2 2 4" xfId="5542"/>
    <cellStyle name="Normal 88 2 2 2 4 2" xfId="14583"/>
    <cellStyle name="Normal 88 2 2 2 5" xfId="10070"/>
    <cellStyle name="Normal 88 2 2 3" xfId="1583"/>
    <cellStyle name="Normal 88 2 2 3 2" xfId="4329"/>
    <cellStyle name="Normal 88 2 2 3 2 2" xfId="8843"/>
    <cellStyle name="Normal 88 2 2 3 2 2 2" xfId="17884"/>
    <cellStyle name="Normal 88 2 2 3 2 3" xfId="13371"/>
    <cellStyle name="Normal 88 2 2 3 3" xfId="6106"/>
    <cellStyle name="Normal 88 2 2 3 3 2" xfId="15147"/>
    <cellStyle name="Normal 88 2 2 3 4" xfId="10634"/>
    <cellStyle name="Normal 88 2 2 4" xfId="4326"/>
    <cellStyle name="Normal 88 2 2 4 2" xfId="8840"/>
    <cellStyle name="Normal 88 2 2 4 2 2" xfId="17881"/>
    <cellStyle name="Normal 88 2 2 4 3" xfId="13368"/>
    <cellStyle name="Normal 88 2 2 5" xfId="4978"/>
    <cellStyle name="Normal 88 2 2 5 2" xfId="14019"/>
    <cellStyle name="Normal 88 2 2 6" xfId="9506"/>
    <cellStyle name="Normal 88 2 3" xfId="601"/>
    <cellStyle name="Normal 88 2 3 2" xfId="1165"/>
    <cellStyle name="Normal 88 2 3 2 2" xfId="2335"/>
    <cellStyle name="Normal 88 2 3 2 2 2" xfId="4332"/>
    <cellStyle name="Normal 88 2 3 2 2 2 2" xfId="8846"/>
    <cellStyle name="Normal 88 2 3 2 2 2 2 2" xfId="17887"/>
    <cellStyle name="Normal 88 2 3 2 2 2 3" xfId="13374"/>
    <cellStyle name="Normal 88 2 3 2 2 3" xfId="6858"/>
    <cellStyle name="Normal 88 2 3 2 2 3 2" xfId="15899"/>
    <cellStyle name="Normal 88 2 3 2 2 4" xfId="11386"/>
    <cellStyle name="Normal 88 2 3 2 3" xfId="4331"/>
    <cellStyle name="Normal 88 2 3 2 3 2" xfId="8845"/>
    <cellStyle name="Normal 88 2 3 2 3 2 2" xfId="17886"/>
    <cellStyle name="Normal 88 2 3 2 3 3" xfId="13373"/>
    <cellStyle name="Normal 88 2 3 2 4" xfId="5730"/>
    <cellStyle name="Normal 88 2 3 2 4 2" xfId="14771"/>
    <cellStyle name="Normal 88 2 3 2 5" xfId="10258"/>
    <cellStyle name="Normal 88 2 3 3" xfId="1771"/>
    <cellStyle name="Normal 88 2 3 3 2" xfId="4333"/>
    <cellStyle name="Normal 88 2 3 3 2 2" xfId="8847"/>
    <cellStyle name="Normal 88 2 3 3 2 2 2" xfId="17888"/>
    <cellStyle name="Normal 88 2 3 3 2 3" xfId="13375"/>
    <cellStyle name="Normal 88 2 3 3 3" xfId="6294"/>
    <cellStyle name="Normal 88 2 3 3 3 2" xfId="15335"/>
    <cellStyle name="Normal 88 2 3 3 4" xfId="10822"/>
    <cellStyle name="Normal 88 2 3 4" xfId="4330"/>
    <cellStyle name="Normal 88 2 3 4 2" xfId="8844"/>
    <cellStyle name="Normal 88 2 3 4 2 2" xfId="17885"/>
    <cellStyle name="Normal 88 2 3 4 3" xfId="13372"/>
    <cellStyle name="Normal 88 2 3 5" xfId="5166"/>
    <cellStyle name="Normal 88 2 3 5 2" xfId="14207"/>
    <cellStyle name="Normal 88 2 3 6" xfId="9694"/>
    <cellStyle name="Normal 88 2 4" xfId="789"/>
    <cellStyle name="Normal 88 2 4 2" xfId="1959"/>
    <cellStyle name="Normal 88 2 4 2 2" xfId="4335"/>
    <cellStyle name="Normal 88 2 4 2 2 2" xfId="8849"/>
    <cellStyle name="Normal 88 2 4 2 2 2 2" xfId="17890"/>
    <cellStyle name="Normal 88 2 4 2 2 3" xfId="13377"/>
    <cellStyle name="Normal 88 2 4 2 3" xfId="6482"/>
    <cellStyle name="Normal 88 2 4 2 3 2" xfId="15523"/>
    <cellStyle name="Normal 88 2 4 2 4" xfId="11010"/>
    <cellStyle name="Normal 88 2 4 3" xfId="4334"/>
    <cellStyle name="Normal 88 2 4 3 2" xfId="8848"/>
    <cellStyle name="Normal 88 2 4 3 2 2" xfId="17889"/>
    <cellStyle name="Normal 88 2 4 3 3" xfId="13376"/>
    <cellStyle name="Normal 88 2 4 4" xfId="5354"/>
    <cellStyle name="Normal 88 2 4 4 2" xfId="14395"/>
    <cellStyle name="Normal 88 2 4 5" xfId="9882"/>
    <cellStyle name="Normal 88 2 5" xfId="1395"/>
    <cellStyle name="Normal 88 2 5 2" xfId="4336"/>
    <cellStyle name="Normal 88 2 5 2 2" xfId="8850"/>
    <cellStyle name="Normal 88 2 5 2 2 2" xfId="17891"/>
    <cellStyle name="Normal 88 2 5 2 3" xfId="13378"/>
    <cellStyle name="Normal 88 2 5 3" xfId="5918"/>
    <cellStyle name="Normal 88 2 5 3 2" xfId="14959"/>
    <cellStyle name="Normal 88 2 5 4" xfId="10446"/>
    <cellStyle name="Normal 88 2 6" xfId="4325"/>
    <cellStyle name="Normal 88 2 6 2" xfId="8839"/>
    <cellStyle name="Normal 88 2 6 2 2" xfId="17880"/>
    <cellStyle name="Normal 88 2 6 3" xfId="13367"/>
    <cellStyle name="Normal 88 2 7" xfId="4790"/>
    <cellStyle name="Normal 88 2 7 2" xfId="13831"/>
    <cellStyle name="Normal 88 2 8" xfId="9318"/>
    <cellStyle name="Normal 88 3" xfId="319"/>
    <cellStyle name="Normal 88 3 2" xfId="883"/>
    <cellStyle name="Normal 88 3 2 2" xfId="2053"/>
    <cellStyle name="Normal 88 3 2 2 2" xfId="4339"/>
    <cellStyle name="Normal 88 3 2 2 2 2" xfId="8853"/>
    <cellStyle name="Normal 88 3 2 2 2 2 2" xfId="17894"/>
    <cellStyle name="Normal 88 3 2 2 2 3" xfId="13381"/>
    <cellStyle name="Normal 88 3 2 2 3" xfId="6576"/>
    <cellStyle name="Normal 88 3 2 2 3 2" xfId="15617"/>
    <cellStyle name="Normal 88 3 2 2 4" xfId="11104"/>
    <cellStyle name="Normal 88 3 2 3" xfId="4338"/>
    <cellStyle name="Normal 88 3 2 3 2" xfId="8852"/>
    <cellStyle name="Normal 88 3 2 3 2 2" xfId="17893"/>
    <cellStyle name="Normal 88 3 2 3 3" xfId="13380"/>
    <cellStyle name="Normal 88 3 2 4" xfId="5448"/>
    <cellStyle name="Normal 88 3 2 4 2" xfId="14489"/>
    <cellStyle name="Normal 88 3 2 5" xfId="9976"/>
    <cellStyle name="Normal 88 3 3" xfId="1489"/>
    <cellStyle name="Normal 88 3 3 2" xfId="4340"/>
    <cellStyle name="Normal 88 3 3 2 2" xfId="8854"/>
    <cellStyle name="Normal 88 3 3 2 2 2" xfId="17895"/>
    <cellStyle name="Normal 88 3 3 2 3" xfId="13382"/>
    <cellStyle name="Normal 88 3 3 3" xfId="6012"/>
    <cellStyle name="Normal 88 3 3 3 2" xfId="15053"/>
    <cellStyle name="Normal 88 3 3 4" xfId="10540"/>
    <cellStyle name="Normal 88 3 4" xfId="4337"/>
    <cellStyle name="Normal 88 3 4 2" xfId="8851"/>
    <cellStyle name="Normal 88 3 4 2 2" xfId="17892"/>
    <cellStyle name="Normal 88 3 4 3" xfId="13379"/>
    <cellStyle name="Normal 88 3 5" xfId="4884"/>
    <cellStyle name="Normal 88 3 5 2" xfId="13925"/>
    <cellStyle name="Normal 88 3 6" xfId="9412"/>
    <cellStyle name="Normal 88 4" xfId="507"/>
    <cellStyle name="Normal 88 4 2" xfId="1071"/>
    <cellStyle name="Normal 88 4 2 2" xfId="2241"/>
    <cellStyle name="Normal 88 4 2 2 2" xfId="4343"/>
    <cellStyle name="Normal 88 4 2 2 2 2" xfId="8857"/>
    <cellStyle name="Normal 88 4 2 2 2 2 2" xfId="17898"/>
    <cellStyle name="Normal 88 4 2 2 2 3" xfId="13385"/>
    <cellStyle name="Normal 88 4 2 2 3" xfId="6764"/>
    <cellStyle name="Normal 88 4 2 2 3 2" xfId="15805"/>
    <cellStyle name="Normal 88 4 2 2 4" xfId="11292"/>
    <cellStyle name="Normal 88 4 2 3" xfId="4342"/>
    <cellStyle name="Normal 88 4 2 3 2" xfId="8856"/>
    <cellStyle name="Normal 88 4 2 3 2 2" xfId="17897"/>
    <cellStyle name="Normal 88 4 2 3 3" xfId="13384"/>
    <cellStyle name="Normal 88 4 2 4" xfId="5636"/>
    <cellStyle name="Normal 88 4 2 4 2" xfId="14677"/>
    <cellStyle name="Normal 88 4 2 5" xfId="10164"/>
    <cellStyle name="Normal 88 4 3" xfId="1677"/>
    <cellStyle name="Normal 88 4 3 2" xfId="4344"/>
    <cellStyle name="Normal 88 4 3 2 2" xfId="8858"/>
    <cellStyle name="Normal 88 4 3 2 2 2" xfId="17899"/>
    <cellStyle name="Normal 88 4 3 2 3" xfId="13386"/>
    <cellStyle name="Normal 88 4 3 3" xfId="6200"/>
    <cellStyle name="Normal 88 4 3 3 2" xfId="15241"/>
    <cellStyle name="Normal 88 4 3 4" xfId="10728"/>
    <cellStyle name="Normal 88 4 4" xfId="4341"/>
    <cellStyle name="Normal 88 4 4 2" xfId="8855"/>
    <cellStyle name="Normal 88 4 4 2 2" xfId="17896"/>
    <cellStyle name="Normal 88 4 4 3" xfId="13383"/>
    <cellStyle name="Normal 88 4 5" xfId="5072"/>
    <cellStyle name="Normal 88 4 5 2" xfId="14113"/>
    <cellStyle name="Normal 88 4 6" xfId="9600"/>
    <cellStyle name="Normal 88 5" xfId="695"/>
    <cellStyle name="Normal 88 5 2" xfId="1865"/>
    <cellStyle name="Normal 88 5 2 2" xfId="4346"/>
    <cellStyle name="Normal 88 5 2 2 2" xfId="8860"/>
    <cellStyle name="Normal 88 5 2 2 2 2" xfId="17901"/>
    <cellStyle name="Normal 88 5 2 2 3" xfId="13388"/>
    <cellStyle name="Normal 88 5 2 3" xfId="6388"/>
    <cellStyle name="Normal 88 5 2 3 2" xfId="15429"/>
    <cellStyle name="Normal 88 5 2 4" xfId="10916"/>
    <cellStyle name="Normal 88 5 3" xfId="4345"/>
    <cellStyle name="Normal 88 5 3 2" xfId="8859"/>
    <cellStyle name="Normal 88 5 3 2 2" xfId="17900"/>
    <cellStyle name="Normal 88 5 3 3" xfId="13387"/>
    <cellStyle name="Normal 88 5 4" xfId="5260"/>
    <cellStyle name="Normal 88 5 4 2" xfId="14301"/>
    <cellStyle name="Normal 88 5 5" xfId="9788"/>
    <cellStyle name="Normal 88 6" xfId="1301"/>
    <cellStyle name="Normal 88 6 2" xfId="4347"/>
    <cellStyle name="Normal 88 6 2 2" xfId="8861"/>
    <cellStyle name="Normal 88 6 2 2 2" xfId="17902"/>
    <cellStyle name="Normal 88 6 2 3" xfId="13389"/>
    <cellStyle name="Normal 88 6 3" xfId="5824"/>
    <cellStyle name="Normal 88 6 3 2" xfId="14865"/>
    <cellStyle name="Normal 88 6 4" xfId="10352"/>
    <cellStyle name="Normal 88 7" xfId="4324"/>
    <cellStyle name="Normal 88 7 2" xfId="8838"/>
    <cellStyle name="Normal 88 7 2 2" xfId="17879"/>
    <cellStyle name="Normal 88 7 3" xfId="13366"/>
    <cellStyle name="Normal 88 8" xfId="4696"/>
    <cellStyle name="Normal 88 8 2" xfId="13737"/>
    <cellStyle name="Normal 88 9" xfId="9224"/>
    <cellStyle name="Normal 89" xfId="89"/>
    <cellStyle name="Normal 89 2" xfId="185"/>
    <cellStyle name="Normal 89 2 2" xfId="414"/>
    <cellStyle name="Normal 89 2 2 2" xfId="978"/>
    <cellStyle name="Normal 89 2 2 2 2" xfId="2148"/>
    <cellStyle name="Normal 89 2 2 2 2 2" xfId="4352"/>
    <cellStyle name="Normal 89 2 2 2 2 2 2" xfId="8866"/>
    <cellStyle name="Normal 89 2 2 2 2 2 2 2" xfId="17907"/>
    <cellStyle name="Normal 89 2 2 2 2 2 3" xfId="13394"/>
    <cellStyle name="Normal 89 2 2 2 2 3" xfId="6671"/>
    <cellStyle name="Normal 89 2 2 2 2 3 2" xfId="15712"/>
    <cellStyle name="Normal 89 2 2 2 2 4" xfId="11199"/>
    <cellStyle name="Normal 89 2 2 2 3" xfId="4351"/>
    <cellStyle name="Normal 89 2 2 2 3 2" xfId="8865"/>
    <cellStyle name="Normal 89 2 2 2 3 2 2" xfId="17906"/>
    <cellStyle name="Normal 89 2 2 2 3 3" xfId="13393"/>
    <cellStyle name="Normal 89 2 2 2 4" xfId="5543"/>
    <cellStyle name="Normal 89 2 2 2 4 2" xfId="14584"/>
    <cellStyle name="Normal 89 2 2 2 5" xfId="10071"/>
    <cellStyle name="Normal 89 2 2 3" xfId="1584"/>
    <cellStyle name="Normal 89 2 2 3 2" xfId="4353"/>
    <cellStyle name="Normal 89 2 2 3 2 2" xfId="8867"/>
    <cellStyle name="Normal 89 2 2 3 2 2 2" xfId="17908"/>
    <cellStyle name="Normal 89 2 2 3 2 3" xfId="13395"/>
    <cellStyle name="Normal 89 2 2 3 3" xfId="6107"/>
    <cellStyle name="Normal 89 2 2 3 3 2" xfId="15148"/>
    <cellStyle name="Normal 89 2 2 3 4" xfId="10635"/>
    <cellStyle name="Normal 89 2 2 4" xfId="4350"/>
    <cellStyle name="Normal 89 2 2 4 2" xfId="8864"/>
    <cellStyle name="Normal 89 2 2 4 2 2" xfId="17905"/>
    <cellStyle name="Normal 89 2 2 4 3" xfId="13392"/>
    <cellStyle name="Normal 89 2 2 5" xfId="4979"/>
    <cellStyle name="Normal 89 2 2 5 2" xfId="14020"/>
    <cellStyle name="Normal 89 2 2 6" xfId="9507"/>
    <cellStyle name="Normal 89 2 3" xfId="602"/>
    <cellStyle name="Normal 89 2 3 2" xfId="1166"/>
    <cellStyle name="Normal 89 2 3 2 2" xfId="2336"/>
    <cellStyle name="Normal 89 2 3 2 2 2" xfId="4356"/>
    <cellStyle name="Normal 89 2 3 2 2 2 2" xfId="8870"/>
    <cellStyle name="Normal 89 2 3 2 2 2 2 2" xfId="17911"/>
    <cellStyle name="Normal 89 2 3 2 2 2 3" xfId="13398"/>
    <cellStyle name="Normal 89 2 3 2 2 3" xfId="6859"/>
    <cellStyle name="Normal 89 2 3 2 2 3 2" xfId="15900"/>
    <cellStyle name="Normal 89 2 3 2 2 4" xfId="11387"/>
    <cellStyle name="Normal 89 2 3 2 3" xfId="4355"/>
    <cellStyle name="Normal 89 2 3 2 3 2" xfId="8869"/>
    <cellStyle name="Normal 89 2 3 2 3 2 2" xfId="17910"/>
    <cellStyle name="Normal 89 2 3 2 3 3" xfId="13397"/>
    <cellStyle name="Normal 89 2 3 2 4" xfId="5731"/>
    <cellStyle name="Normal 89 2 3 2 4 2" xfId="14772"/>
    <cellStyle name="Normal 89 2 3 2 5" xfId="10259"/>
    <cellStyle name="Normal 89 2 3 3" xfId="1772"/>
    <cellStyle name="Normal 89 2 3 3 2" xfId="4357"/>
    <cellStyle name="Normal 89 2 3 3 2 2" xfId="8871"/>
    <cellStyle name="Normal 89 2 3 3 2 2 2" xfId="17912"/>
    <cellStyle name="Normal 89 2 3 3 2 3" xfId="13399"/>
    <cellStyle name="Normal 89 2 3 3 3" xfId="6295"/>
    <cellStyle name="Normal 89 2 3 3 3 2" xfId="15336"/>
    <cellStyle name="Normal 89 2 3 3 4" xfId="10823"/>
    <cellStyle name="Normal 89 2 3 4" xfId="4354"/>
    <cellStyle name="Normal 89 2 3 4 2" xfId="8868"/>
    <cellStyle name="Normal 89 2 3 4 2 2" xfId="17909"/>
    <cellStyle name="Normal 89 2 3 4 3" xfId="13396"/>
    <cellStyle name="Normal 89 2 3 5" xfId="5167"/>
    <cellStyle name="Normal 89 2 3 5 2" xfId="14208"/>
    <cellStyle name="Normal 89 2 3 6" xfId="9695"/>
    <cellStyle name="Normal 89 2 4" xfId="790"/>
    <cellStyle name="Normal 89 2 4 2" xfId="1960"/>
    <cellStyle name="Normal 89 2 4 2 2" xfId="4359"/>
    <cellStyle name="Normal 89 2 4 2 2 2" xfId="8873"/>
    <cellStyle name="Normal 89 2 4 2 2 2 2" xfId="17914"/>
    <cellStyle name="Normal 89 2 4 2 2 3" xfId="13401"/>
    <cellStyle name="Normal 89 2 4 2 3" xfId="6483"/>
    <cellStyle name="Normal 89 2 4 2 3 2" xfId="15524"/>
    <cellStyle name="Normal 89 2 4 2 4" xfId="11011"/>
    <cellStyle name="Normal 89 2 4 3" xfId="4358"/>
    <cellStyle name="Normal 89 2 4 3 2" xfId="8872"/>
    <cellStyle name="Normal 89 2 4 3 2 2" xfId="17913"/>
    <cellStyle name="Normal 89 2 4 3 3" xfId="13400"/>
    <cellStyle name="Normal 89 2 4 4" xfId="5355"/>
    <cellStyle name="Normal 89 2 4 4 2" xfId="14396"/>
    <cellStyle name="Normal 89 2 4 5" xfId="9883"/>
    <cellStyle name="Normal 89 2 5" xfId="1396"/>
    <cellStyle name="Normal 89 2 5 2" xfId="4360"/>
    <cellStyle name="Normal 89 2 5 2 2" xfId="8874"/>
    <cellStyle name="Normal 89 2 5 2 2 2" xfId="17915"/>
    <cellStyle name="Normal 89 2 5 2 3" xfId="13402"/>
    <cellStyle name="Normal 89 2 5 3" xfId="5919"/>
    <cellStyle name="Normal 89 2 5 3 2" xfId="14960"/>
    <cellStyle name="Normal 89 2 5 4" xfId="10447"/>
    <cellStyle name="Normal 89 2 6" xfId="4349"/>
    <cellStyle name="Normal 89 2 6 2" xfId="8863"/>
    <cellStyle name="Normal 89 2 6 2 2" xfId="17904"/>
    <cellStyle name="Normal 89 2 6 3" xfId="13391"/>
    <cellStyle name="Normal 89 2 7" xfId="4791"/>
    <cellStyle name="Normal 89 2 7 2" xfId="13832"/>
    <cellStyle name="Normal 89 2 8" xfId="9319"/>
    <cellStyle name="Normal 89 3" xfId="320"/>
    <cellStyle name="Normal 89 3 2" xfId="884"/>
    <cellStyle name="Normal 89 3 2 2" xfId="2054"/>
    <cellStyle name="Normal 89 3 2 2 2" xfId="4363"/>
    <cellStyle name="Normal 89 3 2 2 2 2" xfId="8877"/>
    <cellStyle name="Normal 89 3 2 2 2 2 2" xfId="17918"/>
    <cellStyle name="Normal 89 3 2 2 2 3" xfId="13405"/>
    <cellStyle name="Normal 89 3 2 2 3" xfId="6577"/>
    <cellStyle name="Normal 89 3 2 2 3 2" xfId="15618"/>
    <cellStyle name="Normal 89 3 2 2 4" xfId="11105"/>
    <cellStyle name="Normal 89 3 2 3" xfId="4362"/>
    <cellStyle name="Normal 89 3 2 3 2" xfId="8876"/>
    <cellStyle name="Normal 89 3 2 3 2 2" xfId="17917"/>
    <cellStyle name="Normal 89 3 2 3 3" xfId="13404"/>
    <cellStyle name="Normal 89 3 2 4" xfId="5449"/>
    <cellStyle name="Normal 89 3 2 4 2" xfId="14490"/>
    <cellStyle name="Normal 89 3 2 5" xfId="9977"/>
    <cellStyle name="Normal 89 3 3" xfId="1490"/>
    <cellStyle name="Normal 89 3 3 2" xfId="4364"/>
    <cellStyle name="Normal 89 3 3 2 2" xfId="8878"/>
    <cellStyle name="Normal 89 3 3 2 2 2" xfId="17919"/>
    <cellStyle name="Normal 89 3 3 2 3" xfId="13406"/>
    <cellStyle name="Normal 89 3 3 3" xfId="6013"/>
    <cellStyle name="Normal 89 3 3 3 2" xfId="15054"/>
    <cellStyle name="Normal 89 3 3 4" xfId="10541"/>
    <cellStyle name="Normal 89 3 4" xfId="4361"/>
    <cellStyle name="Normal 89 3 4 2" xfId="8875"/>
    <cellStyle name="Normal 89 3 4 2 2" xfId="17916"/>
    <cellStyle name="Normal 89 3 4 3" xfId="13403"/>
    <cellStyle name="Normal 89 3 5" xfId="4885"/>
    <cellStyle name="Normal 89 3 5 2" xfId="13926"/>
    <cellStyle name="Normal 89 3 6" xfId="9413"/>
    <cellStyle name="Normal 89 4" xfId="508"/>
    <cellStyle name="Normal 89 4 2" xfId="1072"/>
    <cellStyle name="Normal 89 4 2 2" xfId="2242"/>
    <cellStyle name="Normal 89 4 2 2 2" xfId="4367"/>
    <cellStyle name="Normal 89 4 2 2 2 2" xfId="8881"/>
    <cellStyle name="Normal 89 4 2 2 2 2 2" xfId="17922"/>
    <cellStyle name="Normal 89 4 2 2 2 3" xfId="13409"/>
    <cellStyle name="Normal 89 4 2 2 3" xfId="6765"/>
    <cellStyle name="Normal 89 4 2 2 3 2" xfId="15806"/>
    <cellStyle name="Normal 89 4 2 2 4" xfId="11293"/>
    <cellStyle name="Normal 89 4 2 3" xfId="4366"/>
    <cellStyle name="Normal 89 4 2 3 2" xfId="8880"/>
    <cellStyle name="Normal 89 4 2 3 2 2" xfId="17921"/>
    <cellStyle name="Normal 89 4 2 3 3" xfId="13408"/>
    <cellStyle name="Normal 89 4 2 4" xfId="5637"/>
    <cellStyle name="Normal 89 4 2 4 2" xfId="14678"/>
    <cellStyle name="Normal 89 4 2 5" xfId="10165"/>
    <cellStyle name="Normal 89 4 3" xfId="1678"/>
    <cellStyle name="Normal 89 4 3 2" xfId="4368"/>
    <cellStyle name="Normal 89 4 3 2 2" xfId="8882"/>
    <cellStyle name="Normal 89 4 3 2 2 2" xfId="17923"/>
    <cellStyle name="Normal 89 4 3 2 3" xfId="13410"/>
    <cellStyle name="Normal 89 4 3 3" xfId="6201"/>
    <cellStyle name="Normal 89 4 3 3 2" xfId="15242"/>
    <cellStyle name="Normal 89 4 3 4" xfId="10729"/>
    <cellStyle name="Normal 89 4 4" xfId="4365"/>
    <cellStyle name="Normal 89 4 4 2" xfId="8879"/>
    <cellStyle name="Normal 89 4 4 2 2" xfId="17920"/>
    <cellStyle name="Normal 89 4 4 3" xfId="13407"/>
    <cellStyle name="Normal 89 4 5" xfId="5073"/>
    <cellStyle name="Normal 89 4 5 2" xfId="14114"/>
    <cellStyle name="Normal 89 4 6" xfId="9601"/>
    <cellStyle name="Normal 89 5" xfId="696"/>
    <cellStyle name="Normal 89 5 2" xfId="1866"/>
    <cellStyle name="Normal 89 5 2 2" xfId="4370"/>
    <cellStyle name="Normal 89 5 2 2 2" xfId="8884"/>
    <cellStyle name="Normal 89 5 2 2 2 2" xfId="17925"/>
    <cellStyle name="Normal 89 5 2 2 3" xfId="13412"/>
    <cellStyle name="Normal 89 5 2 3" xfId="6389"/>
    <cellStyle name="Normal 89 5 2 3 2" xfId="15430"/>
    <cellStyle name="Normal 89 5 2 4" xfId="10917"/>
    <cellStyle name="Normal 89 5 3" xfId="4369"/>
    <cellStyle name="Normal 89 5 3 2" xfId="8883"/>
    <cellStyle name="Normal 89 5 3 2 2" xfId="17924"/>
    <cellStyle name="Normal 89 5 3 3" xfId="13411"/>
    <cellStyle name="Normal 89 5 4" xfId="5261"/>
    <cellStyle name="Normal 89 5 4 2" xfId="14302"/>
    <cellStyle name="Normal 89 5 5" xfId="9789"/>
    <cellStyle name="Normal 89 6" xfId="1302"/>
    <cellStyle name="Normal 89 6 2" xfId="4371"/>
    <cellStyle name="Normal 89 6 2 2" xfId="8885"/>
    <cellStyle name="Normal 89 6 2 2 2" xfId="17926"/>
    <cellStyle name="Normal 89 6 2 3" xfId="13413"/>
    <cellStyle name="Normal 89 6 3" xfId="5825"/>
    <cellStyle name="Normal 89 6 3 2" xfId="14866"/>
    <cellStyle name="Normal 89 6 4" xfId="10353"/>
    <cellStyle name="Normal 89 7" xfId="4348"/>
    <cellStyle name="Normal 89 7 2" xfId="8862"/>
    <cellStyle name="Normal 89 7 2 2" xfId="17903"/>
    <cellStyle name="Normal 89 7 3" xfId="13390"/>
    <cellStyle name="Normal 89 8" xfId="4697"/>
    <cellStyle name="Normal 89 8 2" xfId="13738"/>
    <cellStyle name="Normal 89 9" xfId="9225"/>
    <cellStyle name="Normal 9" xfId="9126"/>
    <cellStyle name="Normal 9 2" xfId="18167"/>
    <cellStyle name="Normal 90" xfId="90"/>
    <cellStyle name="Normal 90 2" xfId="186"/>
    <cellStyle name="Normal 90 2 2" xfId="415"/>
    <cellStyle name="Normal 90 2 2 2" xfId="979"/>
    <cellStyle name="Normal 90 2 2 2 2" xfId="2149"/>
    <cellStyle name="Normal 90 2 2 2 2 2" xfId="4376"/>
    <cellStyle name="Normal 90 2 2 2 2 2 2" xfId="8890"/>
    <cellStyle name="Normal 90 2 2 2 2 2 2 2" xfId="17931"/>
    <cellStyle name="Normal 90 2 2 2 2 2 3" xfId="13418"/>
    <cellStyle name="Normal 90 2 2 2 2 3" xfId="6672"/>
    <cellStyle name="Normal 90 2 2 2 2 3 2" xfId="15713"/>
    <cellStyle name="Normal 90 2 2 2 2 4" xfId="11200"/>
    <cellStyle name="Normal 90 2 2 2 3" xfId="4375"/>
    <cellStyle name="Normal 90 2 2 2 3 2" xfId="8889"/>
    <cellStyle name="Normal 90 2 2 2 3 2 2" xfId="17930"/>
    <cellStyle name="Normal 90 2 2 2 3 3" xfId="13417"/>
    <cellStyle name="Normal 90 2 2 2 4" xfId="5544"/>
    <cellStyle name="Normal 90 2 2 2 4 2" xfId="14585"/>
    <cellStyle name="Normal 90 2 2 2 5" xfId="10072"/>
    <cellStyle name="Normal 90 2 2 3" xfId="1585"/>
    <cellStyle name="Normal 90 2 2 3 2" xfId="4377"/>
    <cellStyle name="Normal 90 2 2 3 2 2" xfId="8891"/>
    <cellStyle name="Normal 90 2 2 3 2 2 2" xfId="17932"/>
    <cellStyle name="Normal 90 2 2 3 2 3" xfId="13419"/>
    <cellStyle name="Normal 90 2 2 3 3" xfId="6108"/>
    <cellStyle name="Normal 90 2 2 3 3 2" xfId="15149"/>
    <cellStyle name="Normal 90 2 2 3 4" xfId="10636"/>
    <cellStyle name="Normal 90 2 2 4" xfId="4374"/>
    <cellStyle name="Normal 90 2 2 4 2" xfId="8888"/>
    <cellStyle name="Normal 90 2 2 4 2 2" xfId="17929"/>
    <cellStyle name="Normal 90 2 2 4 3" xfId="13416"/>
    <cellStyle name="Normal 90 2 2 5" xfId="4980"/>
    <cellStyle name="Normal 90 2 2 5 2" xfId="14021"/>
    <cellStyle name="Normal 90 2 2 6" xfId="9508"/>
    <cellStyle name="Normal 90 2 3" xfId="603"/>
    <cellStyle name="Normal 90 2 3 2" xfId="1167"/>
    <cellStyle name="Normal 90 2 3 2 2" xfId="2337"/>
    <cellStyle name="Normal 90 2 3 2 2 2" xfId="4380"/>
    <cellStyle name="Normal 90 2 3 2 2 2 2" xfId="8894"/>
    <cellStyle name="Normal 90 2 3 2 2 2 2 2" xfId="17935"/>
    <cellStyle name="Normal 90 2 3 2 2 2 3" xfId="13422"/>
    <cellStyle name="Normal 90 2 3 2 2 3" xfId="6860"/>
    <cellStyle name="Normal 90 2 3 2 2 3 2" xfId="15901"/>
    <cellStyle name="Normal 90 2 3 2 2 4" xfId="11388"/>
    <cellStyle name="Normal 90 2 3 2 3" xfId="4379"/>
    <cellStyle name="Normal 90 2 3 2 3 2" xfId="8893"/>
    <cellStyle name="Normal 90 2 3 2 3 2 2" xfId="17934"/>
    <cellStyle name="Normal 90 2 3 2 3 3" xfId="13421"/>
    <cellStyle name="Normal 90 2 3 2 4" xfId="5732"/>
    <cellStyle name="Normal 90 2 3 2 4 2" xfId="14773"/>
    <cellStyle name="Normal 90 2 3 2 5" xfId="10260"/>
    <cellStyle name="Normal 90 2 3 3" xfId="1773"/>
    <cellStyle name="Normal 90 2 3 3 2" xfId="4381"/>
    <cellStyle name="Normal 90 2 3 3 2 2" xfId="8895"/>
    <cellStyle name="Normal 90 2 3 3 2 2 2" xfId="17936"/>
    <cellStyle name="Normal 90 2 3 3 2 3" xfId="13423"/>
    <cellStyle name="Normal 90 2 3 3 3" xfId="6296"/>
    <cellStyle name="Normal 90 2 3 3 3 2" xfId="15337"/>
    <cellStyle name="Normal 90 2 3 3 4" xfId="10824"/>
    <cellStyle name="Normal 90 2 3 4" xfId="4378"/>
    <cellStyle name="Normal 90 2 3 4 2" xfId="8892"/>
    <cellStyle name="Normal 90 2 3 4 2 2" xfId="17933"/>
    <cellStyle name="Normal 90 2 3 4 3" xfId="13420"/>
    <cellStyle name="Normal 90 2 3 5" xfId="5168"/>
    <cellStyle name="Normal 90 2 3 5 2" xfId="14209"/>
    <cellStyle name="Normal 90 2 3 6" xfId="9696"/>
    <cellStyle name="Normal 90 2 4" xfId="791"/>
    <cellStyle name="Normal 90 2 4 2" xfId="1961"/>
    <cellStyle name="Normal 90 2 4 2 2" xfId="4383"/>
    <cellStyle name="Normal 90 2 4 2 2 2" xfId="8897"/>
    <cellStyle name="Normal 90 2 4 2 2 2 2" xfId="17938"/>
    <cellStyle name="Normal 90 2 4 2 2 3" xfId="13425"/>
    <cellStyle name="Normal 90 2 4 2 3" xfId="6484"/>
    <cellStyle name="Normal 90 2 4 2 3 2" xfId="15525"/>
    <cellStyle name="Normal 90 2 4 2 4" xfId="11012"/>
    <cellStyle name="Normal 90 2 4 3" xfId="4382"/>
    <cellStyle name="Normal 90 2 4 3 2" xfId="8896"/>
    <cellStyle name="Normal 90 2 4 3 2 2" xfId="17937"/>
    <cellStyle name="Normal 90 2 4 3 3" xfId="13424"/>
    <cellStyle name="Normal 90 2 4 4" xfId="5356"/>
    <cellStyle name="Normal 90 2 4 4 2" xfId="14397"/>
    <cellStyle name="Normal 90 2 4 5" xfId="9884"/>
    <cellStyle name="Normal 90 2 5" xfId="1397"/>
    <cellStyle name="Normal 90 2 5 2" xfId="4384"/>
    <cellStyle name="Normal 90 2 5 2 2" xfId="8898"/>
    <cellStyle name="Normal 90 2 5 2 2 2" xfId="17939"/>
    <cellStyle name="Normal 90 2 5 2 3" xfId="13426"/>
    <cellStyle name="Normal 90 2 5 3" xfId="5920"/>
    <cellStyle name="Normal 90 2 5 3 2" xfId="14961"/>
    <cellStyle name="Normal 90 2 5 4" xfId="10448"/>
    <cellStyle name="Normal 90 2 6" xfId="4373"/>
    <cellStyle name="Normal 90 2 6 2" xfId="8887"/>
    <cellStyle name="Normal 90 2 6 2 2" xfId="17928"/>
    <cellStyle name="Normal 90 2 6 3" xfId="13415"/>
    <cellStyle name="Normal 90 2 7" xfId="4792"/>
    <cellStyle name="Normal 90 2 7 2" xfId="13833"/>
    <cellStyle name="Normal 90 2 8" xfId="9320"/>
    <cellStyle name="Normal 90 3" xfId="321"/>
    <cellStyle name="Normal 90 3 2" xfId="885"/>
    <cellStyle name="Normal 90 3 2 2" xfId="2055"/>
    <cellStyle name="Normal 90 3 2 2 2" xfId="4387"/>
    <cellStyle name="Normal 90 3 2 2 2 2" xfId="8901"/>
    <cellStyle name="Normal 90 3 2 2 2 2 2" xfId="17942"/>
    <cellStyle name="Normal 90 3 2 2 2 3" xfId="13429"/>
    <cellStyle name="Normal 90 3 2 2 3" xfId="6578"/>
    <cellStyle name="Normal 90 3 2 2 3 2" xfId="15619"/>
    <cellStyle name="Normal 90 3 2 2 4" xfId="11106"/>
    <cellStyle name="Normal 90 3 2 3" xfId="4386"/>
    <cellStyle name="Normal 90 3 2 3 2" xfId="8900"/>
    <cellStyle name="Normal 90 3 2 3 2 2" xfId="17941"/>
    <cellStyle name="Normal 90 3 2 3 3" xfId="13428"/>
    <cellStyle name="Normal 90 3 2 4" xfId="5450"/>
    <cellStyle name="Normal 90 3 2 4 2" xfId="14491"/>
    <cellStyle name="Normal 90 3 2 5" xfId="9978"/>
    <cellStyle name="Normal 90 3 3" xfId="1491"/>
    <cellStyle name="Normal 90 3 3 2" xfId="4388"/>
    <cellStyle name="Normal 90 3 3 2 2" xfId="8902"/>
    <cellStyle name="Normal 90 3 3 2 2 2" xfId="17943"/>
    <cellStyle name="Normal 90 3 3 2 3" xfId="13430"/>
    <cellStyle name="Normal 90 3 3 3" xfId="6014"/>
    <cellStyle name="Normal 90 3 3 3 2" xfId="15055"/>
    <cellStyle name="Normal 90 3 3 4" xfId="10542"/>
    <cellStyle name="Normal 90 3 4" xfId="4385"/>
    <cellStyle name="Normal 90 3 4 2" xfId="8899"/>
    <cellStyle name="Normal 90 3 4 2 2" xfId="17940"/>
    <cellStyle name="Normal 90 3 4 3" xfId="13427"/>
    <cellStyle name="Normal 90 3 5" xfId="4886"/>
    <cellStyle name="Normal 90 3 5 2" xfId="13927"/>
    <cellStyle name="Normal 90 3 6" xfId="9414"/>
    <cellStyle name="Normal 90 4" xfId="509"/>
    <cellStyle name="Normal 90 4 2" xfId="1073"/>
    <cellStyle name="Normal 90 4 2 2" xfId="2243"/>
    <cellStyle name="Normal 90 4 2 2 2" xfId="4391"/>
    <cellStyle name="Normal 90 4 2 2 2 2" xfId="8905"/>
    <cellStyle name="Normal 90 4 2 2 2 2 2" xfId="17946"/>
    <cellStyle name="Normal 90 4 2 2 2 3" xfId="13433"/>
    <cellStyle name="Normal 90 4 2 2 3" xfId="6766"/>
    <cellStyle name="Normal 90 4 2 2 3 2" xfId="15807"/>
    <cellStyle name="Normal 90 4 2 2 4" xfId="11294"/>
    <cellStyle name="Normal 90 4 2 3" xfId="4390"/>
    <cellStyle name="Normal 90 4 2 3 2" xfId="8904"/>
    <cellStyle name="Normal 90 4 2 3 2 2" xfId="17945"/>
    <cellStyle name="Normal 90 4 2 3 3" xfId="13432"/>
    <cellStyle name="Normal 90 4 2 4" xfId="5638"/>
    <cellStyle name="Normal 90 4 2 4 2" xfId="14679"/>
    <cellStyle name="Normal 90 4 2 5" xfId="10166"/>
    <cellStyle name="Normal 90 4 3" xfId="1679"/>
    <cellStyle name="Normal 90 4 3 2" xfId="4392"/>
    <cellStyle name="Normal 90 4 3 2 2" xfId="8906"/>
    <cellStyle name="Normal 90 4 3 2 2 2" xfId="17947"/>
    <cellStyle name="Normal 90 4 3 2 3" xfId="13434"/>
    <cellStyle name="Normal 90 4 3 3" xfId="6202"/>
    <cellStyle name="Normal 90 4 3 3 2" xfId="15243"/>
    <cellStyle name="Normal 90 4 3 4" xfId="10730"/>
    <cellStyle name="Normal 90 4 4" xfId="4389"/>
    <cellStyle name="Normal 90 4 4 2" xfId="8903"/>
    <cellStyle name="Normal 90 4 4 2 2" xfId="17944"/>
    <cellStyle name="Normal 90 4 4 3" xfId="13431"/>
    <cellStyle name="Normal 90 4 5" xfId="5074"/>
    <cellStyle name="Normal 90 4 5 2" xfId="14115"/>
    <cellStyle name="Normal 90 4 6" xfId="9602"/>
    <cellStyle name="Normal 90 5" xfId="697"/>
    <cellStyle name="Normal 90 5 2" xfId="1867"/>
    <cellStyle name="Normal 90 5 2 2" xfId="4394"/>
    <cellStyle name="Normal 90 5 2 2 2" xfId="8908"/>
    <cellStyle name="Normal 90 5 2 2 2 2" xfId="17949"/>
    <cellStyle name="Normal 90 5 2 2 3" xfId="13436"/>
    <cellStyle name="Normal 90 5 2 3" xfId="6390"/>
    <cellStyle name="Normal 90 5 2 3 2" xfId="15431"/>
    <cellStyle name="Normal 90 5 2 4" xfId="10918"/>
    <cellStyle name="Normal 90 5 3" xfId="4393"/>
    <cellStyle name="Normal 90 5 3 2" xfId="8907"/>
    <cellStyle name="Normal 90 5 3 2 2" xfId="17948"/>
    <cellStyle name="Normal 90 5 3 3" xfId="13435"/>
    <cellStyle name="Normal 90 5 4" xfId="5262"/>
    <cellStyle name="Normal 90 5 4 2" xfId="14303"/>
    <cellStyle name="Normal 90 5 5" xfId="9790"/>
    <cellStyle name="Normal 90 6" xfId="1303"/>
    <cellStyle name="Normal 90 6 2" xfId="4395"/>
    <cellStyle name="Normal 90 6 2 2" xfId="8909"/>
    <cellStyle name="Normal 90 6 2 2 2" xfId="17950"/>
    <cellStyle name="Normal 90 6 2 3" xfId="13437"/>
    <cellStyle name="Normal 90 6 3" xfId="5826"/>
    <cellStyle name="Normal 90 6 3 2" xfId="14867"/>
    <cellStyle name="Normal 90 6 4" xfId="10354"/>
    <cellStyle name="Normal 90 7" xfId="4372"/>
    <cellStyle name="Normal 90 7 2" xfId="8886"/>
    <cellStyle name="Normal 90 7 2 2" xfId="17927"/>
    <cellStyle name="Normal 90 7 3" xfId="13414"/>
    <cellStyle name="Normal 90 8" xfId="4698"/>
    <cellStyle name="Normal 90 8 2" xfId="13739"/>
    <cellStyle name="Normal 90 9" xfId="9226"/>
    <cellStyle name="Normal 91" xfId="91"/>
    <cellStyle name="Normal 91 2" xfId="187"/>
    <cellStyle name="Normal 91 2 2" xfId="416"/>
    <cellStyle name="Normal 91 2 2 2" xfId="980"/>
    <cellStyle name="Normal 91 2 2 2 2" xfId="2150"/>
    <cellStyle name="Normal 91 2 2 2 2 2" xfId="4400"/>
    <cellStyle name="Normal 91 2 2 2 2 2 2" xfId="8914"/>
    <cellStyle name="Normal 91 2 2 2 2 2 2 2" xfId="17955"/>
    <cellStyle name="Normal 91 2 2 2 2 2 3" xfId="13442"/>
    <cellStyle name="Normal 91 2 2 2 2 3" xfId="6673"/>
    <cellStyle name="Normal 91 2 2 2 2 3 2" xfId="15714"/>
    <cellStyle name="Normal 91 2 2 2 2 4" xfId="11201"/>
    <cellStyle name="Normal 91 2 2 2 3" xfId="4399"/>
    <cellStyle name="Normal 91 2 2 2 3 2" xfId="8913"/>
    <cellStyle name="Normal 91 2 2 2 3 2 2" xfId="17954"/>
    <cellStyle name="Normal 91 2 2 2 3 3" xfId="13441"/>
    <cellStyle name="Normal 91 2 2 2 4" xfId="5545"/>
    <cellStyle name="Normal 91 2 2 2 4 2" xfId="14586"/>
    <cellStyle name="Normal 91 2 2 2 5" xfId="10073"/>
    <cellStyle name="Normal 91 2 2 3" xfId="1586"/>
    <cellStyle name="Normal 91 2 2 3 2" xfId="4401"/>
    <cellStyle name="Normal 91 2 2 3 2 2" xfId="8915"/>
    <cellStyle name="Normal 91 2 2 3 2 2 2" xfId="17956"/>
    <cellStyle name="Normal 91 2 2 3 2 3" xfId="13443"/>
    <cellStyle name="Normal 91 2 2 3 3" xfId="6109"/>
    <cellStyle name="Normal 91 2 2 3 3 2" xfId="15150"/>
    <cellStyle name="Normal 91 2 2 3 4" xfId="10637"/>
    <cellStyle name="Normal 91 2 2 4" xfId="4398"/>
    <cellStyle name="Normal 91 2 2 4 2" xfId="8912"/>
    <cellStyle name="Normal 91 2 2 4 2 2" xfId="17953"/>
    <cellStyle name="Normal 91 2 2 4 3" xfId="13440"/>
    <cellStyle name="Normal 91 2 2 5" xfId="4981"/>
    <cellStyle name="Normal 91 2 2 5 2" xfId="14022"/>
    <cellStyle name="Normal 91 2 2 6" xfId="9509"/>
    <cellStyle name="Normal 91 2 3" xfId="604"/>
    <cellStyle name="Normal 91 2 3 2" xfId="1168"/>
    <cellStyle name="Normal 91 2 3 2 2" xfId="2338"/>
    <cellStyle name="Normal 91 2 3 2 2 2" xfId="4404"/>
    <cellStyle name="Normal 91 2 3 2 2 2 2" xfId="8918"/>
    <cellStyle name="Normal 91 2 3 2 2 2 2 2" xfId="17959"/>
    <cellStyle name="Normal 91 2 3 2 2 2 3" xfId="13446"/>
    <cellStyle name="Normal 91 2 3 2 2 3" xfId="6861"/>
    <cellStyle name="Normal 91 2 3 2 2 3 2" xfId="15902"/>
    <cellStyle name="Normal 91 2 3 2 2 4" xfId="11389"/>
    <cellStyle name="Normal 91 2 3 2 3" xfId="4403"/>
    <cellStyle name="Normal 91 2 3 2 3 2" xfId="8917"/>
    <cellStyle name="Normal 91 2 3 2 3 2 2" xfId="17958"/>
    <cellStyle name="Normal 91 2 3 2 3 3" xfId="13445"/>
    <cellStyle name="Normal 91 2 3 2 4" xfId="5733"/>
    <cellStyle name="Normal 91 2 3 2 4 2" xfId="14774"/>
    <cellStyle name="Normal 91 2 3 2 5" xfId="10261"/>
    <cellStyle name="Normal 91 2 3 3" xfId="1774"/>
    <cellStyle name="Normal 91 2 3 3 2" xfId="4405"/>
    <cellStyle name="Normal 91 2 3 3 2 2" xfId="8919"/>
    <cellStyle name="Normal 91 2 3 3 2 2 2" xfId="17960"/>
    <cellStyle name="Normal 91 2 3 3 2 3" xfId="13447"/>
    <cellStyle name="Normal 91 2 3 3 3" xfId="6297"/>
    <cellStyle name="Normal 91 2 3 3 3 2" xfId="15338"/>
    <cellStyle name="Normal 91 2 3 3 4" xfId="10825"/>
    <cellStyle name="Normal 91 2 3 4" xfId="4402"/>
    <cellStyle name="Normal 91 2 3 4 2" xfId="8916"/>
    <cellStyle name="Normal 91 2 3 4 2 2" xfId="17957"/>
    <cellStyle name="Normal 91 2 3 4 3" xfId="13444"/>
    <cellStyle name="Normal 91 2 3 5" xfId="5169"/>
    <cellStyle name="Normal 91 2 3 5 2" xfId="14210"/>
    <cellStyle name="Normal 91 2 3 6" xfId="9697"/>
    <cellStyle name="Normal 91 2 4" xfId="792"/>
    <cellStyle name="Normal 91 2 4 2" xfId="1962"/>
    <cellStyle name="Normal 91 2 4 2 2" xfId="4407"/>
    <cellStyle name="Normal 91 2 4 2 2 2" xfId="8921"/>
    <cellStyle name="Normal 91 2 4 2 2 2 2" xfId="17962"/>
    <cellStyle name="Normal 91 2 4 2 2 3" xfId="13449"/>
    <cellStyle name="Normal 91 2 4 2 3" xfId="6485"/>
    <cellStyle name="Normal 91 2 4 2 3 2" xfId="15526"/>
    <cellStyle name="Normal 91 2 4 2 4" xfId="11013"/>
    <cellStyle name="Normal 91 2 4 3" xfId="4406"/>
    <cellStyle name="Normal 91 2 4 3 2" xfId="8920"/>
    <cellStyle name="Normal 91 2 4 3 2 2" xfId="17961"/>
    <cellStyle name="Normal 91 2 4 3 3" xfId="13448"/>
    <cellStyle name="Normal 91 2 4 4" xfId="5357"/>
    <cellStyle name="Normal 91 2 4 4 2" xfId="14398"/>
    <cellStyle name="Normal 91 2 4 5" xfId="9885"/>
    <cellStyle name="Normal 91 2 5" xfId="1398"/>
    <cellStyle name="Normal 91 2 5 2" xfId="4408"/>
    <cellStyle name="Normal 91 2 5 2 2" xfId="8922"/>
    <cellStyle name="Normal 91 2 5 2 2 2" xfId="17963"/>
    <cellStyle name="Normal 91 2 5 2 3" xfId="13450"/>
    <cellStyle name="Normal 91 2 5 3" xfId="5921"/>
    <cellStyle name="Normal 91 2 5 3 2" xfId="14962"/>
    <cellStyle name="Normal 91 2 5 4" xfId="10449"/>
    <cellStyle name="Normal 91 2 6" xfId="4397"/>
    <cellStyle name="Normal 91 2 6 2" xfId="8911"/>
    <cellStyle name="Normal 91 2 6 2 2" xfId="17952"/>
    <cellStyle name="Normal 91 2 6 3" xfId="13439"/>
    <cellStyle name="Normal 91 2 7" xfId="4793"/>
    <cellStyle name="Normal 91 2 7 2" xfId="13834"/>
    <cellStyle name="Normal 91 2 8" xfId="9321"/>
    <cellStyle name="Normal 91 3" xfId="322"/>
    <cellStyle name="Normal 91 3 2" xfId="886"/>
    <cellStyle name="Normal 91 3 2 2" xfId="2056"/>
    <cellStyle name="Normal 91 3 2 2 2" xfId="4411"/>
    <cellStyle name="Normal 91 3 2 2 2 2" xfId="8925"/>
    <cellStyle name="Normal 91 3 2 2 2 2 2" xfId="17966"/>
    <cellStyle name="Normal 91 3 2 2 2 3" xfId="13453"/>
    <cellStyle name="Normal 91 3 2 2 3" xfId="6579"/>
    <cellStyle name="Normal 91 3 2 2 3 2" xfId="15620"/>
    <cellStyle name="Normal 91 3 2 2 4" xfId="11107"/>
    <cellStyle name="Normal 91 3 2 3" xfId="4410"/>
    <cellStyle name="Normal 91 3 2 3 2" xfId="8924"/>
    <cellStyle name="Normal 91 3 2 3 2 2" xfId="17965"/>
    <cellStyle name="Normal 91 3 2 3 3" xfId="13452"/>
    <cellStyle name="Normal 91 3 2 4" xfId="5451"/>
    <cellStyle name="Normal 91 3 2 4 2" xfId="14492"/>
    <cellStyle name="Normal 91 3 2 5" xfId="9979"/>
    <cellStyle name="Normal 91 3 3" xfId="1492"/>
    <cellStyle name="Normal 91 3 3 2" xfId="4412"/>
    <cellStyle name="Normal 91 3 3 2 2" xfId="8926"/>
    <cellStyle name="Normal 91 3 3 2 2 2" xfId="17967"/>
    <cellStyle name="Normal 91 3 3 2 3" xfId="13454"/>
    <cellStyle name="Normal 91 3 3 3" xfId="6015"/>
    <cellStyle name="Normal 91 3 3 3 2" xfId="15056"/>
    <cellStyle name="Normal 91 3 3 4" xfId="10543"/>
    <cellStyle name="Normal 91 3 4" xfId="4409"/>
    <cellStyle name="Normal 91 3 4 2" xfId="8923"/>
    <cellStyle name="Normal 91 3 4 2 2" xfId="17964"/>
    <cellStyle name="Normal 91 3 4 3" xfId="13451"/>
    <cellStyle name="Normal 91 3 5" xfId="4887"/>
    <cellStyle name="Normal 91 3 5 2" xfId="13928"/>
    <cellStyle name="Normal 91 3 6" xfId="9415"/>
    <cellStyle name="Normal 91 4" xfId="510"/>
    <cellStyle name="Normal 91 4 2" xfId="1074"/>
    <cellStyle name="Normal 91 4 2 2" xfId="2244"/>
    <cellStyle name="Normal 91 4 2 2 2" xfId="4415"/>
    <cellStyle name="Normal 91 4 2 2 2 2" xfId="8929"/>
    <cellStyle name="Normal 91 4 2 2 2 2 2" xfId="17970"/>
    <cellStyle name="Normal 91 4 2 2 2 3" xfId="13457"/>
    <cellStyle name="Normal 91 4 2 2 3" xfId="6767"/>
    <cellStyle name="Normal 91 4 2 2 3 2" xfId="15808"/>
    <cellStyle name="Normal 91 4 2 2 4" xfId="11295"/>
    <cellStyle name="Normal 91 4 2 3" xfId="4414"/>
    <cellStyle name="Normal 91 4 2 3 2" xfId="8928"/>
    <cellStyle name="Normal 91 4 2 3 2 2" xfId="17969"/>
    <cellStyle name="Normal 91 4 2 3 3" xfId="13456"/>
    <cellStyle name="Normal 91 4 2 4" xfId="5639"/>
    <cellStyle name="Normal 91 4 2 4 2" xfId="14680"/>
    <cellStyle name="Normal 91 4 2 5" xfId="10167"/>
    <cellStyle name="Normal 91 4 3" xfId="1680"/>
    <cellStyle name="Normal 91 4 3 2" xfId="4416"/>
    <cellStyle name="Normal 91 4 3 2 2" xfId="8930"/>
    <cellStyle name="Normal 91 4 3 2 2 2" xfId="17971"/>
    <cellStyle name="Normal 91 4 3 2 3" xfId="13458"/>
    <cellStyle name="Normal 91 4 3 3" xfId="6203"/>
    <cellStyle name="Normal 91 4 3 3 2" xfId="15244"/>
    <cellStyle name="Normal 91 4 3 4" xfId="10731"/>
    <cellStyle name="Normal 91 4 4" xfId="4413"/>
    <cellStyle name="Normal 91 4 4 2" xfId="8927"/>
    <cellStyle name="Normal 91 4 4 2 2" xfId="17968"/>
    <cellStyle name="Normal 91 4 4 3" xfId="13455"/>
    <cellStyle name="Normal 91 4 5" xfId="5075"/>
    <cellStyle name="Normal 91 4 5 2" xfId="14116"/>
    <cellStyle name="Normal 91 4 6" xfId="9603"/>
    <cellStyle name="Normal 91 5" xfId="698"/>
    <cellStyle name="Normal 91 5 2" xfId="1868"/>
    <cellStyle name="Normal 91 5 2 2" xfId="4418"/>
    <cellStyle name="Normal 91 5 2 2 2" xfId="8932"/>
    <cellStyle name="Normal 91 5 2 2 2 2" xfId="17973"/>
    <cellStyle name="Normal 91 5 2 2 3" xfId="13460"/>
    <cellStyle name="Normal 91 5 2 3" xfId="6391"/>
    <cellStyle name="Normal 91 5 2 3 2" xfId="15432"/>
    <cellStyle name="Normal 91 5 2 4" xfId="10919"/>
    <cellStyle name="Normal 91 5 3" xfId="4417"/>
    <cellStyle name="Normal 91 5 3 2" xfId="8931"/>
    <cellStyle name="Normal 91 5 3 2 2" xfId="17972"/>
    <cellStyle name="Normal 91 5 3 3" xfId="13459"/>
    <cellStyle name="Normal 91 5 4" xfId="5263"/>
    <cellStyle name="Normal 91 5 4 2" xfId="14304"/>
    <cellStyle name="Normal 91 5 5" xfId="9791"/>
    <cellStyle name="Normal 91 6" xfId="1304"/>
    <cellStyle name="Normal 91 6 2" xfId="4419"/>
    <cellStyle name="Normal 91 6 2 2" xfId="8933"/>
    <cellStyle name="Normal 91 6 2 2 2" xfId="17974"/>
    <cellStyle name="Normal 91 6 2 3" xfId="13461"/>
    <cellStyle name="Normal 91 6 3" xfId="5827"/>
    <cellStyle name="Normal 91 6 3 2" xfId="14868"/>
    <cellStyle name="Normal 91 6 4" xfId="10355"/>
    <cellStyle name="Normal 91 7" xfId="4396"/>
    <cellStyle name="Normal 91 7 2" xfId="8910"/>
    <cellStyle name="Normal 91 7 2 2" xfId="17951"/>
    <cellStyle name="Normal 91 7 3" xfId="13438"/>
    <cellStyle name="Normal 91 8" xfId="4699"/>
    <cellStyle name="Normal 91 8 2" xfId="13740"/>
    <cellStyle name="Normal 91 9" xfId="9227"/>
    <cellStyle name="Normal 92" xfId="92"/>
    <cellStyle name="Normal 92 2" xfId="188"/>
    <cellStyle name="Normal 92 2 2" xfId="417"/>
    <cellStyle name="Normal 92 2 2 2" xfId="981"/>
    <cellStyle name="Normal 92 2 2 2 2" xfId="2151"/>
    <cellStyle name="Normal 92 2 2 2 2 2" xfId="4424"/>
    <cellStyle name="Normal 92 2 2 2 2 2 2" xfId="8938"/>
    <cellStyle name="Normal 92 2 2 2 2 2 2 2" xfId="17979"/>
    <cellStyle name="Normal 92 2 2 2 2 2 3" xfId="13466"/>
    <cellStyle name="Normal 92 2 2 2 2 3" xfId="6674"/>
    <cellStyle name="Normal 92 2 2 2 2 3 2" xfId="15715"/>
    <cellStyle name="Normal 92 2 2 2 2 4" xfId="11202"/>
    <cellStyle name="Normal 92 2 2 2 3" xfId="4423"/>
    <cellStyle name="Normal 92 2 2 2 3 2" xfId="8937"/>
    <cellStyle name="Normal 92 2 2 2 3 2 2" xfId="17978"/>
    <cellStyle name="Normal 92 2 2 2 3 3" xfId="13465"/>
    <cellStyle name="Normal 92 2 2 2 4" xfId="5546"/>
    <cellStyle name="Normal 92 2 2 2 4 2" xfId="14587"/>
    <cellStyle name="Normal 92 2 2 2 5" xfId="10074"/>
    <cellStyle name="Normal 92 2 2 3" xfId="1587"/>
    <cellStyle name="Normal 92 2 2 3 2" xfId="4425"/>
    <cellStyle name="Normal 92 2 2 3 2 2" xfId="8939"/>
    <cellStyle name="Normal 92 2 2 3 2 2 2" xfId="17980"/>
    <cellStyle name="Normal 92 2 2 3 2 3" xfId="13467"/>
    <cellStyle name="Normal 92 2 2 3 3" xfId="6110"/>
    <cellStyle name="Normal 92 2 2 3 3 2" xfId="15151"/>
    <cellStyle name="Normal 92 2 2 3 4" xfId="10638"/>
    <cellStyle name="Normal 92 2 2 4" xfId="4422"/>
    <cellStyle name="Normal 92 2 2 4 2" xfId="8936"/>
    <cellStyle name="Normal 92 2 2 4 2 2" xfId="17977"/>
    <cellStyle name="Normal 92 2 2 4 3" xfId="13464"/>
    <cellStyle name="Normal 92 2 2 5" xfId="4982"/>
    <cellStyle name="Normal 92 2 2 5 2" xfId="14023"/>
    <cellStyle name="Normal 92 2 2 6" xfId="9510"/>
    <cellStyle name="Normal 92 2 3" xfId="605"/>
    <cellStyle name="Normal 92 2 3 2" xfId="1169"/>
    <cellStyle name="Normal 92 2 3 2 2" xfId="2339"/>
    <cellStyle name="Normal 92 2 3 2 2 2" xfId="4428"/>
    <cellStyle name="Normal 92 2 3 2 2 2 2" xfId="8942"/>
    <cellStyle name="Normal 92 2 3 2 2 2 2 2" xfId="17983"/>
    <cellStyle name="Normal 92 2 3 2 2 2 3" xfId="13470"/>
    <cellStyle name="Normal 92 2 3 2 2 3" xfId="6862"/>
    <cellStyle name="Normal 92 2 3 2 2 3 2" xfId="15903"/>
    <cellStyle name="Normal 92 2 3 2 2 4" xfId="11390"/>
    <cellStyle name="Normal 92 2 3 2 3" xfId="4427"/>
    <cellStyle name="Normal 92 2 3 2 3 2" xfId="8941"/>
    <cellStyle name="Normal 92 2 3 2 3 2 2" xfId="17982"/>
    <cellStyle name="Normal 92 2 3 2 3 3" xfId="13469"/>
    <cellStyle name="Normal 92 2 3 2 4" xfId="5734"/>
    <cellStyle name="Normal 92 2 3 2 4 2" xfId="14775"/>
    <cellStyle name="Normal 92 2 3 2 5" xfId="10262"/>
    <cellStyle name="Normal 92 2 3 3" xfId="1775"/>
    <cellStyle name="Normal 92 2 3 3 2" xfId="4429"/>
    <cellStyle name="Normal 92 2 3 3 2 2" xfId="8943"/>
    <cellStyle name="Normal 92 2 3 3 2 2 2" xfId="17984"/>
    <cellStyle name="Normal 92 2 3 3 2 3" xfId="13471"/>
    <cellStyle name="Normal 92 2 3 3 3" xfId="6298"/>
    <cellStyle name="Normal 92 2 3 3 3 2" xfId="15339"/>
    <cellStyle name="Normal 92 2 3 3 4" xfId="10826"/>
    <cellStyle name="Normal 92 2 3 4" xfId="4426"/>
    <cellStyle name="Normal 92 2 3 4 2" xfId="8940"/>
    <cellStyle name="Normal 92 2 3 4 2 2" xfId="17981"/>
    <cellStyle name="Normal 92 2 3 4 3" xfId="13468"/>
    <cellStyle name="Normal 92 2 3 5" xfId="5170"/>
    <cellStyle name="Normal 92 2 3 5 2" xfId="14211"/>
    <cellStyle name="Normal 92 2 3 6" xfId="9698"/>
    <cellStyle name="Normal 92 2 4" xfId="793"/>
    <cellStyle name="Normal 92 2 4 2" xfId="1963"/>
    <cellStyle name="Normal 92 2 4 2 2" xfId="4431"/>
    <cellStyle name="Normal 92 2 4 2 2 2" xfId="8945"/>
    <cellStyle name="Normal 92 2 4 2 2 2 2" xfId="17986"/>
    <cellStyle name="Normal 92 2 4 2 2 3" xfId="13473"/>
    <cellStyle name="Normal 92 2 4 2 3" xfId="6486"/>
    <cellStyle name="Normal 92 2 4 2 3 2" xfId="15527"/>
    <cellStyle name="Normal 92 2 4 2 4" xfId="11014"/>
    <cellStyle name="Normal 92 2 4 3" xfId="4430"/>
    <cellStyle name="Normal 92 2 4 3 2" xfId="8944"/>
    <cellStyle name="Normal 92 2 4 3 2 2" xfId="17985"/>
    <cellStyle name="Normal 92 2 4 3 3" xfId="13472"/>
    <cellStyle name="Normal 92 2 4 4" xfId="5358"/>
    <cellStyle name="Normal 92 2 4 4 2" xfId="14399"/>
    <cellStyle name="Normal 92 2 4 5" xfId="9886"/>
    <cellStyle name="Normal 92 2 5" xfId="1399"/>
    <cellStyle name="Normal 92 2 5 2" xfId="4432"/>
    <cellStyle name="Normal 92 2 5 2 2" xfId="8946"/>
    <cellStyle name="Normal 92 2 5 2 2 2" xfId="17987"/>
    <cellStyle name="Normal 92 2 5 2 3" xfId="13474"/>
    <cellStyle name="Normal 92 2 5 3" xfId="5922"/>
    <cellStyle name="Normal 92 2 5 3 2" xfId="14963"/>
    <cellStyle name="Normal 92 2 5 4" xfId="10450"/>
    <cellStyle name="Normal 92 2 6" xfId="4421"/>
    <cellStyle name="Normal 92 2 6 2" xfId="8935"/>
    <cellStyle name="Normal 92 2 6 2 2" xfId="17976"/>
    <cellStyle name="Normal 92 2 6 3" xfId="13463"/>
    <cellStyle name="Normal 92 2 7" xfId="4794"/>
    <cellStyle name="Normal 92 2 7 2" xfId="13835"/>
    <cellStyle name="Normal 92 2 8" xfId="9322"/>
    <cellStyle name="Normal 92 3" xfId="323"/>
    <cellStyle name="Normal 92 3 2" xfId="887"/>
    <cellStyle name="Normal 92 3 2 2" xfId="2057"/>
    <cellStyle name="Normal 92 3 2 2 2" xfId="4435"/>
    <cellStyle name="Normal 92 3 2 2 2 2" xfId="8949"/>
    <cellStyle name="Normal 92 3 2 2 2 2 2" xfId="17990"/>
    <cellStyle name="Normal 92 3 2 2 2 3" xfId="13477"/>
    <cellStyle name="Normal 92 3 2 2 3" xfId="6580"/>
    <cellStyle name="Normal 92 3 2 2 3 2" xfId="15621"/>
    <cellStyle name="Normal 92 3 2 2 4" xfId="11108"/>
    <cellStyle name="Normal 92 3 2 3" xfId="4434"/>
    <cellStyle name="Normal 92 3 2 3 2" xfId="8948"/>
    <cellStyle name="Normal 92 3 2 3 2 2" xfId="17989"/>
    <cellStyle name="Normal 92 3 2 3 3" xfId="13476"/>
    <cellStyle name="Normal 92 3 2 4" xfId="5452"/>
    <cellStyle name="Normal 92 3 2 4 2" xfId="14493"/>
    <cellStyle name="Normal 92 3 2 5" xfId="9980"/>
    <cellStyle name="Normal 92 3 3" xfId="1493"/>
    <cellStyle name="Normal 92 3 3 2" xfId="4436"/>
    <cellStyle name="Normal 92 3 3 2 2" xfId="8950"/>
    <cellStyle name="Normal 92 3 3 2 2 2" xfId="17991"/>
    <cellStyle name="Normal 92 3 3 2 3" xfId="13478"/>
    <cellStyle name="Normal 92 3 3 3" xfId="6016"/>
    <cellStyle name="Normal 92 3 3 3 2" xfId="15057"/>
    <cellStyle name="Normal 92 3 3 4" xfId="10544"/>
    <cellStyle name="Normal 92 3 4" xfId="4433"/>
    <cellStyle name="Normal 92 3 4 2" xfId="8947"/>
    <cellStyle name="Normal 92 3 4 2 2" xfId="17988"/>
    <cellStyle name="Normal 92 3 4 3" xfId="13475"/>
    <cellStyle name="Normal 92 3 5" xfId="4888"/>
    <cellStyle name="Normal 92 3 5 2" xfId="13929"/>
    <cellStyle name="Normal 92 3 6" xfId="9416"/>
    <cellStyle name="Normal 92 4" xfId="511"/>
    <cellStyle name="Normal 92 4 2" xfId="1075"/>
    <cellStyle name="Normal 92 4 2 2" xfId="2245"/>
    <cellStyle name="Normal 92 4 2 2 2" xfId="4439"/>
    <cellStyle name="Normal 92 4 2 2 2 2" xfId="8953"/>
    <cellStyle name="Normal 92 4 2 2 2 2 2" xfId="17994"/>
    <cellStyle name="Normal 92 4 2 2 2 3" xfId="13481"/>
    <cellStyle name="Normal 92 4 2 2 3" xfId="6768"/>
    <cellStyle name="Normal 92 4 2 2 3 2" xfId="15809"/>
    <cellStyle name="Normal 92 4 2 2 4" xfId="11296"/>
    <cellStyle name="Normal 92 4 2 3" xfId="4438"/>
    <cellStyle name="Normal 92 4 2 3 2" xfId="8952"/>
    <cellStyle name="Normal 92 4 2 3 2 2" xfId="17993"/>
    <cellStyle name="Normal 92 4 2 3 3" xfId="13480"/>
    <cellStyle name="Normal 92 4 2 4" xfId="5640"/>
    <cellStyle name="Normal 92 4 2 4 2" xfId="14681"/>
    <cellStyle name="Normal 92 4 2 5" xfId="10168"/>
    <cellStyle name="Normal 92 4 3" xfId="1681"/>
    <cellStyle name="Normal 92 4 3 2" xfId="4440"/>
    <cellStyle name="Normal 92 4 3 2 2" xfId="8954"/>
    <cellStyle name="Normal 92 4 3 2 2 2" xfId="17995"/>
    <cellStyle name="Normal 92 4 3 2 3" xfId="13482"/>
    <cellStyle name="Normal 92 4 3 3" xfId="6204"/>
    <cellStyle name="Normal 92 4 3 3 2" xfId="15245"/>
    <cellStyle name="Normal 92 4 3 4" xfId="10732"/>
    <cellStyle name="Normal 92 4 4" xfId="4437"/>
    <cellStyle name="Normal 92 4 4 2" xfId="8951"/>
    <cellStyle name="Normal 92 4 4 2 2" xfId="17992"/>
    <cellStyle name="Normal 92 4 4 3" xfId="13479"/>
    <cellStyle name="Normal 92 4 5" xfId="5076"/>
    <cellStyle name="Normal 92 4 5 2" xfId="14117"/>
    <cellStyle name="Normal 92 4 6" xfId="9604"/>
    <cellStyle name="Normal 92 5" xfId="699"/>
    <cellStyle name="Normal 92 5 2" xfId="1869"/>
    <cellStyle name="Normal 92 5 2 2" xfId="4442"/>
    <cellStyle name="Normal 92 5 2 2 2" xfId="8956"/>
    <cellStyle name="Normal 92 5 2 2 2 2" xfId="17997"/>
    <cellStyle name="Normal 92 5 2 2 3" xfId="13484"/>
    <cellStyle name="Normal 92 5 2 3" xfId="6392"/>
    <cellStyle name="Normal 92 5 2 3 2" xfId="15433"/>
    <cellStyle name="Normal 92 5 2 4" xfId="10920"/>
    <cellStyle name="Normal 92 5 3" xfId="4441"/>
    <cellStyle name="Normal 92 5 3 2" xfId="8955"/>
    <cellStyle name="Normal 92 5 3 2 2" xfId="17996"/>
    <cellStyle name="Normal 92 5 3 3" xfId="13483"/>
    <cellStyle name="Normal 92 5 4" xfId="5264"/>
    <cellStyle name="Normal 92 5 4 2" xfId="14305"/>
    <cellStyle name="Normal 92 5 5" xfId="9792"/>
    <cellStyle name="Normal 92 6" xfId="1305"/>
    <cellStyle name="Normal 92 6 2" xfId="4443"/>
    <cellStyle name="Normal 92 6 2 2" xfId="8957"/>
    <cellStyle name="Normal 92 6 2 2 2" xfId="17998"/>
    <cellStyle name="Normal 92 6 2 3" xfId="13485"/>
    <cellStyle name="Normal 92 6 3" xfId="5828"/>
    <cellStyle name="Normal 92 6 3 2" xfId="14869"/>
    <cellStyle name="Normal 92 6 4" xfId="10356"/>
    <cellStyle name="Normal 92 7" xfId="4420"/>
    <cellStyle name="Normal 92 7 2" xfId="8934"/>
    <cellStyle name="Normal 92 7 2 2" xfId="17975"/>
    <cellStyle name="Normal 92 7 3" xfId="13462"/>
    <cellStyle name="Normal 92 8" xfId="4700"/>
    <cellStyle name="Normal 92 8 2" xfId="13741"/>
    <cellStyle name="Normal 92 9" xfId="9228"/>
    <cellStyle name="Normal 93" xfId="93"/>
    <cellStyle name="Normal 93 2" xfId="189"/>
    <cellStyle name="Normal 93 2 2" xfId="418"/>
    <cellStyle name="Normal 93 2 2 2" xfId="982"/>
    <cellStyle name="Normal 93 2 2 2 2" xfId="2152"/>
    <cellStyle name="Normal 93 2 2 2 2 2" xfId="4448"/>
    <cellStyle name="Normal 93 2 2 2 2 2 2" xfId="8962"/>
    <cellStyle name="Normal 93 2 2 2 2 2 2 2" xfId="18003"/>
    <cellStyle name="Normal 93 2 2 2 2 2 3" xfId="13490"/>
    <cellStyle name="Normal 93 2 2 2 2 3" xfId="6675"/>
    <cellStyle name="Normal 93 2 2 2 2 3 2" xfId="15716"/>
    <cellStyle name="Normal 93 2 2 2 2 4" xfId="11203"/>
    <cellStyle name="Normal 93 2 2 2 3" xfId="4447"/>
    <cellStyle name="Normal 93 2 2 2 3 2" xfId="8961"/>
    <cellStyle name="Normal 93 2 2 2 3 2 2" xfId="18002"/>
    <cellStyle name="Normal 93 2 2 2 3 3" xfId="13489"/>
    <cellStyle name="Normal 93 2 2 2 4" xfId="5547"/>
    <cellStyle name="Normal 93 2 2 2 4 2" xfId="14588"/>
    <cellStyle name="Normal 93 2 2 2 5" xfId="10075"/>
    <cellStyle name="Normal 93 2 2 3" xfId="1588"/>
    <cellStyle name="Normal 93 2 2 3 2" xfId="4449"/>
    <cellStyle name="Normal 93 2 2 3 2 2" xfId="8963"/>
    <cellStyle name="Normal 93 2 2 3 2 2 2" xfId="18004"/>
    <cellStyle name="Normal 93 2 2 3 2 3" xfId="13491"/>
    <cellStyle name="Normal 93 2 2 3 3" xfId="6111"/>
    <cellStyle name="Normal 93 2 2 3 3 2" xfId="15152"/>
    <cellStyle name="Normal 93 2 2 3 4" xfId="10639"/>
    <cellStyle name="Normal 93 2 2 4" xfId="4446"/>
    <cellStyle name="Normal 93 2 2 4 2" xfId="8960"/>
    <cellStyle name="Normal 93 2 2 4 2 2" xfId="18001"/>
    <cellStyle name="Normal 93 2 2 4 3" xfId="13488"/>
    <cellStyle name="Normal 93 2 2 5" xfId="4983"/>
    <cellStyle name="Normal 93 2 2 5 2" xfId="14024"/>
    <cellStyle name="Normal 93 2 2 6" xfId="9511"/>
    <cellStyle name="Normal 93 2 3" xfId="606"/>
    <cellStyle name="Normal 93 2 3 2" xfId="1170"/>
    <cellStyle name="Normal 93 2 3 2 2" xfId="2340"/>
    <cellStyle name="Normal 93 2 3 2 2 2" xfId="4452"/>
    <cellStyle name="Normal 93 2 3 2 2 2 2" xfId="8966"/>
    <cellStyle name="Normal 93 2 3 2 2 2 2 2" xfId="18007"/>
    <cellStyle name="Normal 93 2 3 2 2 2 3" xfId="13494"/>
    <cellStyle name="Normal 93 2 3 2 2 3" xfId="6863"/>
    <cellStyle name="Normal 93 2 3 2 2 3 2" xfId="15904"/>
    <cellStyle name="Normal 93 2 3 2 2 4" xfId="11391"/>
    <cellStyle name="Normal 93 2 3 2 3" xfId="4451"/>
    <cellStyle name="Normal 93 2 3 2 3 2" xfId="8965"/>
    <cellStyle name="Normal 93 2 3 2 3 2 2" xfId="18006"/>
    <cellStyle name="Normal 93 2 3 2 3 3" xfId="13493"/>
    <cellStyle name="Normal 93 2 3 2 4" xfId="5735"/>
    <cellStyle name="Normal 93 2 3 2 4 2" xfId="14776"/>
    <cellStyle name="Normal 93 2 3 2 5" xfId="10263"/>
    <cellStyle name="Normal 93 2 3 3" xfId="1776"/>
    <cellStyle name="Normal 93 2 3 3 2" xfId="4453"/>
    <cellStyle name="Normal 93 2 3 3 2 2" xfId="8967"/>
    <cellStyle name="Normal 93 2 3 3 2 2 2" xfId="18008"/>
    <cellStyle name="Normal 93 2 3 3 2 3" xfId="13495"/>
    <cellStyle name="Normal 93 2 3 3 3" xfId="6299"/>
    <cellStyle name="Normal 93 2 3 3 3 2" xfId="15340"/>
    <cellStyle name="Normal 93 2 3 3 4" xfId="10827"/>
    <cellStyle name="Normal 93 2 3 4" xfId="4450"/>
    <cellStyle name="Normal 93 2 3 4 2" xfId="8964"/>
    <cellStyle name="Normal 93 2 3 4 2 2" xfId="18005"/>
    <cellStyle name="Normal 93 2 3 4 3" xfId="13492"/>
    <cellStyle name="Normal 93 2 3 5" xfId="5171"/>
    <cellStyle name="Normal 93 2 3 5 2" xfId="14212"/>
    <cellStyle name="Normal 93 2 3 6" xfId="9699"/>
    <cellStyle name="Normal 93 2 4" xfId="794"/>
    <cellStyle name="Normal 93 2 4 2" xfId="1964"/>
    <cellStyle name="Normal 93 2 4 2 2" xfId="4455"/>
    <cellStyle name="Normal 93 2 4 2 2 2" xfId="8969"/>
    <cellStyle name="Normal 93 2 4 2 2 2 2" xfId="18010"/>
    <cellStyle name="Normal 93 2 4 2 2 3" xfId="13497"/>
    <cellStyle name="Normal 93 2 4 2 3" xfId="6487"/>
    <cellStyle name="Normal 93 2 4 2 3 2" xfId="15528"/>
    <cellStyle name="Normal 93 2 4 2 4" xfId="11015"/>
    <cellStyle name="Normal 93 2 4 3" xfId="4454"/>
    <cellStyle name="Normal 93 2 4 3 2" xfId="8968"/>
    <cellStyle name="Normal 93 2 4 3 2 2" xfId="18009"/>
    <cellStyle name="Normal 93 2 4 3 3" xfId="13496"/>
    <cellStyle name="Normal 93 2 4 4" xfId="5359"/>
    <cellStyle name="Normal 93 2 4 4 2" xfId="14400"/>
    <cellStyle name="Normal 93 2 4 5" xfId="9887"/>
    <cellStyle name="Normal 93 2 5" xfId="1400"/>
    <cellStyle name="Normal 93 2 5 2" xfId="4456"/>
    <cellStyle name="Normal 93 2 5 2 2" xfId="8970"/>
    <cellStyle name="Normal 93 2 5 2 2 2" xfId="18011"/>
    <cellStyle name="Normal 93 2 5 2 3" xfId="13498"/>
    <cellStyle name="Normal 93 2 5 3" xfId="5923"/>
    <cellStyle name="Normal 93 2 5 3 2" xfId="14964"/>
    <cellStyle name="Normal 93 2 5 4" xfId="10451"/>
    <cellStyle name="Normal 93 2 6" xfId="4445"/>
    <cellStyle name="Normal 93 2 6 2" xfId="8959"/>
    <cellStyle name="Normal 93 2 6 2 2" xfId="18000"/>
    <cellStyle name="Normal 93 2 6 3" xfId="13487"/>
    <cellStyle name="Normal 93 2 7" xfId="4795"/>
    <cellStyle name="Normal 93 2 7 2" xfId="13836"/>
    <cellStyle name="Normal 93 2 8" xfId="9323"/>
    <cellStyle name="Normal 93 3" xfId="324"/>
    <cellStyle name="Normal 93 3 2" xfId="888"/>
    <cellStyle name="Normal 93 3 2 2" xfId="2058"/>
    <cellStyle name="Normal 93 3 2 2 2" xfId="4459"/>
    <cellStyle name="Normal 93 3 2 2 2 2" xfId="8973"/>
    <cellStyle name="Normal 93 3 2 2 2 2 2" xfId="18014"/>
    <cellStyle name="Normal 93 3 2 2 2 3" xfId="13501"/>
    <cellStyle name="Normal 93 3 2 2 3" xfId="6581"/>
    <cellStyle name="Normal 93 3 2 2 3 2" xfId="15622"/>
    <cellStyle name="Normal 93 3 2 2 4" xfId="11109"/>
    <cellStyle name="Normal 93 3 2 3" xfId="4458"/>
    <cellStyle name="Normal 93 3 2 3 2" xfId="8972"/>
    <cellStyle name="Normal 93 3 2 3 2 2" xfId="18013"/>
    <cellStyle name="Normal 93 3 2 3 3" xfId="13500"/>
    <cellStyle name="Normal 93 3 2 4" xfId="5453"/>
    <cellStyle name="Normal 93 3 2 4 2" xfId="14494"/>
    <cellStyle name="Normal 93 3 2 5" xfId="9981"/>
    <cellStyle name="Normal 93 3 3" xfId="1494"/>
    <cellStyle name="Normal 93 3 3 2" xfId="4460"/>
    <cellStyle name="Normal 93 3 3 2 2" xfId="8974"/>
    <cellStyle name="Normal 93 3 3 2 2 2" xfId="18015"/>
    <cellStyle name="Normal 93 3 3 2 3" xfId="13502"/>
    <cellStyle name="Normal 93 3 3 3" xfId="6017"/>
    <cellStyle name="Normal 93 3 3 3 2" xfId="15058"/>
    <cellStyle name="Normal 93 3 3 4" xfId="10545"/>
    <cellStyle name="Normal 93 3 4" xfId="4457"/>
    <cellStyle name="Normal 93 3 4 2" xfId="8971"/>
    <cellStyle name="Normal 93 3 4 2 2" xfId="18012"/>
    <cellStyle name="Normal 93 3 4 3" xfId="13499"/>
    <cellStyle name="Normal 93 3 5" xfId="4889"/>
    <cellStyle name="Normal 93 3 5 2" xfId="13930"/>
    <cellStyle name="Normal 93 3 6" xfId="9417"/>
    <cellStyle name="Normal 93 4" xfId="512"/>
    <cellStyle name="Normal 93 4 2" xfId="1076"/>
    <cellStyle name="Normal 93 4 2 2" xfId="2246"/>
    <cellStyle name="Normal 93 4 2 2 2" xfId="4463"/>
    <cellStyle name="Normal 93 4 2 2 2 2" xfId="8977"/>
    <cellStyle name="Normal 93 4 2 2 2 2 2" xfId="18018"/>
    <cellStyle name="Normal 93 4 2 2 2 3" xfId="13505"/>
    <cellStyle name="Normal 93 4 2 2 3" xfId="6769"/>
    <cellStyle name="Normal 93 4 2 2 3 2" xfId="15810"/>
    <cellStyle name="Normal 93 4 2 2 4" xfId="11297"/>
    <cellStyle name="Normal 93 4 2 3" xfId="4462"/>
    <cellStyle name="Normal 93 4 2 3 2" xfId="8976"/>
    <cellStyle name="Normal 93 4 2 3 2 2" xfId="18017"/>
    <cellStyle name="Normal 93 4 2 3 3" xfId="13504"/>
    <cellStyle name="Normal 93 4 2 4" xfId="5641"/>
    <cellStyle name="Normal 93 4 2 4 2" xfId="14682"/>
    <cellStyle name="Normal 93 4 2 5" xfId="10169"/>
    <cellStyle name="Normal 93 4 3" xfId="1682"/>
    <cellStyle name="Normal 93 4 3 2" xfId="4464"/>
    <cellStyle name="Normal 93 4 3 2 2" xfId="8978"/>
    <cellStyle name="Normal 93 4 3 2 2 2" xfId="18019"/>
    <cellStyle name="Normal 93 4 3 2 3" xfId="13506"/>
    <cellStyle name="Normal 93 4 3 3" xfId="6205"/>
    <cellStyle name="Normal 93 4 3 3 2" xfId="15246"/>
    <cellStyle name="Normal 93 4 3 4" xfId="10733"/>
    <cellStyle name="Normal 93 4 4" xfId="4461"/>
    <cellStyle name="Normal 93 4 4 2" xfId="8975"/>
    <cellStyle name="Normal 93 4 4 2 2" xfId="18016"/>
    <cellStyle name="Normal 93 4 4 3" xfId="13503"/>
    <cellStyle name="Normal 93 4 5" xfId="5077"/>
    <cellStyle name="Normal 93 4 5 2" xfId="14118"/>
    <cellStyle name="Normal 93 4 6" xfId="9605"/>
    <cellStyle name="Normal 93 5" xfId="700"/>
    <cellStyle name="Normal 93 5 2" xfId="1870"/>
    <cellStyle name="Normal 93 5 2 2" xfId="4466"/>
    <cellStyle name="Normal 93 5 2 2 2" xfId="8980"/>
    <cellStyle name="Normal 93 5 2 2 2 2" xfId="18021"/>
    <cellStyle name="Normal 93 5 2 2 3" xfId="13508"/>
    <cellStyle name="Normal 93 5 2 3" xfId="6393"/>
    <cellStyle name="Normal 93 5 2 3 2" xfId="15434"/>
    <cellStyle name="Normal 93 5 2 4" xfId="10921"/>
    <cellStyle name="Normal 93 5 3" xfId="4465"/>
    <cellStyle name="Normal 93 5 3 2" xfId="8979"/>
    <cellStyle name="Normal 93 5 3 2 2" xfId="18020"/>
    <cellStyle name="Normal 93 5 3 3" xfId="13507"/>
    <cellStyle name="Normal 93 5 4" xfId="5265"/>
    <cellStyle name="Normal 93 5 4 2" xfId="14306"/>
    <cellStyle name="Normal 93 5 5" xfId="9793"/>
    <cellStyle name="Normal 93 6" xfId="1306"/>
    <cellStyle name="Normal 93 6 2" xfId="4467"/>
    <cellStyle name="Normal 93 6 2 2" xfId="8981"/>
    <cellStyle name="Normal 93 6 2 2 2" xfId="18022"/>
    <cellStyle name="Normal 93 6 2 3" xfId="13509"/>
    <cellStyle name="Normal 93 6 3" xfId="5829"/>
    <cellStyle name="Normal 93 6 3 2" xfId="14870"/>
    <cellStyle name="Normal 93 6 4" xfId="10357"/>
    <cellStyle name="Normal 93 7" xfId="4444"/>
    <cellStyle name="Normal 93 7 2" xfId="8958"/>
    <cellStyle name="Normal 93 7 2 2" xfId="17999"/>
    <cellStyle name="Normal 93 7 3" xfId="13486"/>
    <cellStyle name="Normal 93 8" xfId="4701"/>
    <cellStyle name="Normal 93 8 2" xfId="13742"/>
    <cellStyle name="Normal 93 9" xfId="9229"/>
    <cellStyle name="Normal 94" xfId="94"/>
    <cellStyle name="Normal 94 2" xfId="190"/>
    <cellStyle name="Normal 94 2 2" xfId="419"/>
    <cellStyle name="Normal 94 2 2 2" xfId="983"/>
    <cellStyle name="Normal 94 2 2 2 2" xfId="2153"/>
    <cellStyle name="Normal 94 2 2 2 2 2" xfId="4472"/>
    <cellStyle name="Normal 94 2 2 2 2 2 2" xfId="8986"/>
    <cellStyle name="Normal 94 2 2 2 2 2 2 2" xfId="18027"/>
    <cellStyle name="Normal 94 2 2 2 2 2 3" xfId="13514"/>
    <cellStyle name="Normal 94 2 2 2 2 3" xfId="6676"/>
    <cellStyle name="Normal 94 2 2 2 2 3 2" xfId="15717"/>
    <cellStyle name="Normal 94 2 2 2 2 4" xfId="11204"/>
    <cellStyle name="Normal 94 2 2 2 3" xfId="4471"/>
    <cellStyle name="Normal 94 2 2 2 3 2" xfId="8985"/>
    <cellStyle name="Normal 94 2 2 2 3 2 2" xfId="18026"/>
    <cellStyle name="Normal 94 2 2 2 3 3" xfId="13513"/>
    <cellStyle name="Normal 94 2 2 2 4" xfId="5548"/>
    <cellStyle name="Normal 94 2 2 2 4 2" xfId="14589"/>
    <cellStyle name="Normal 94 2 2 2 5" xfId="10076"/>
    <cellStyle name="Normal 94 2 2 3" xfId="1589"/>
    <cellStyle name="Normal 94 2 2 3 2" xfId="4473"/>
    <cellStyle name="Normal 94 2 2 3 2 2" xfId="8987"/>
    <cellStyle name="Normal 94 2 2 3 2 2 2" xfId="18028"/>
    <cellStyle name="Normal 94 2 2 3 2 3" xfId="13515"/>
    <cellStyle name="Normal 94 2 2 3 3" xfId="6112"/>
    <cellStyle name="Normal 94 2 2 3 3 2" xfId="15153"/>
    <cellStyle name="Normal 94 2 2 3 4" xfId="10640"/>
    <cellStyle name="Normal 94 2 2 4" xfId="4470"/>
    <cellStyle name="Normal 94 2 2 4 2" xfId="8984"/>
    <cellStyle name="Normal 94 2 2 4 2 2" xfId="18025"/>
    <cellStyle name="Normal 94 2 2 4 3" xfId="13512"/>
    <cellStyle name="Normal 94 2 2 5" xfId="4984"/>
    <cellStyle name="Normal 94 2 2 5 2" xfId="14025"/>
    <cellStyle name="Normal 94 2 2 6" xfId="9512"/>
    <cellStyle name="Normal 94 2 3" xfId="607"/>
    <cellStyle name="Normal 94 2 3 2" xfId="1171"/>
    <cellStyle name="Normal 94 2 3 2 2" xfId="2341"/>
    <cellStyle name="Normal 94 2 3 2 2 2" xfId="4476"/>
    <cellStyle name="Normal 94 2 3 2 2 2 2" xfId="8990"/>
    <cellStyle name="Normal 94 2 3 2 2 2 2 2" xfId="18031"/>
    <cellStyle name="Normal 94 2 3 2 2 2 3" xfId="13518"/>
    <cellStyle name="Normal 94 2 3 2 2 3" xfId="6864"/>
    <cellStyle name="Normal 94 2 3 2 2 3 2" xfId="15905"/>
    <cellStyle name="Normal 94 2 3 2 2 4" xfId="11392"/>
    <cellStyle name="Normal 94 2 3 2 3" xfId="4475"/>
    <cellStyle name="Normal 94 2 3 2 3 2" xfId="8989"/>
    <cellStyle name="Normal 94 2 3 2 3 2 2" xfId="18030"/>
    <cellStyle name="Normal 94 2 3 2 3 3" xfId="13517"/>
    <cellStyle name="Normal 94 2 3 2 4" xfId="5736"/>
    <cellStyle name="Normal 94 2 3 2 4 2" xfId="14777"/>
    <cellStyle name="Normal 94 2 3 2 5" xfId="10264"/>
    <cellStyle name="Normal 94 2 3 3" xfId="1777"/>
    <cellStyle name="Normal 94 2 3 3 2" xfId="4477"/>
    <cellStyle name="Normal 94 2 3 3 2 2" xfId="8991"/>
    <cellStyle name="Normal 94 2 3 3 2 2 2" xfId="18032"/>
    <cellStyle name="Normal 94 2 3 3 2 3" xfId="13519"/>
    <cellStyle name="Normal 94 2 3 3 3" xfId="6300"/>
    <cellStyle name="Normal 94 2 3 3 3 2" xfId="15341"/>
    <cellStyle name="Normal 94 2 3 3 4" xfId="10828"/>
    <cellStyle name="Normal 94 2 3 4" xfId="4474"/>
    <cellStyle name="Normal 94 2 3 4 2" xfId="8988"/>
    <cellStyle name="Normal 94 2 3 4 2 2" xfId="18029"/>
    <cellStyle name="Normal 94 2 3 4 3" xfId="13516"/>
    <cellStyle name="Normal 94 2 3 5" xfId="5172"/>
    <cellStyle name="Normal 94 2 3 5 2" xfId="14213"/>
    <cellStyle name="Normal 94 2 3 6" xfId="9700"/>
    <cellStyle name="Normal 94 2 4" xfId="795"/>
    <cellStyle name="Normal 94 2 4 2" xfId="1965"/>
    <cellStyle name="Normal 94 2 4 2 2" xfId="4479"/>
    <cellStyle name="Normal 94 2 4 2 2 2" xfId="8993"/>
    <cellStyle name="Normal 94 2 4 2 2 2 2" xfId="18034"/>
    <cellStyle name="Normal 94 2 4 2 2 3" xfId="13521"/>
    <cellStyle name="Normal 94 2 4 2 3" xfId="6488"/>
    <cellStyle name="Normal 94 2 4 2 3 2" xfId="15529"/>
    <cellStyle name="Normal 94 2 4 2 4" xfId="11016"/>
    <cellStyle name="Normal 94 2 4 3" xfId="4478"/>
    <cellStyle name="Normal 94 2 4 3 2" xfId="8992"/>
    <cellStyle name="Normal 94 2 4 3 2 2" xfId="18033"/>
    <cellStyle name="Normal 94 2 4 3 3" xfId="13520"/>
    <cellStyle name="Normal 94 2 4 4" xfId="5360"/>
    <cellStyle name="Normal 94 2 4 4 2" xfId="14401"/>
    <cellStyle name="Normal 94 2 4 5" xfId="9888"/>
    <cellStyle name="Normal 94 2 5" xfId="1401"/>
    <cellStyle name="Normal 94 2 5 2" xfId="4480"/>
    <cellStyle name="Normal 94 2 5 2 2" xfId="8994"/>
    <cellStyle name="Normal 94 2 5 2 2 2" xfId="18035"/>
    <cellStyle name="Normal 94 2 5 2 3" xfId="13522"/>
    <cellStyle name="Normal 94 2 5 3" xfId="5924"/>
    <cellStyle name="Normal 94 2 5 3 2" xfId="14965"/>
    <cellStyle name="Normal 94 2 5 4" xfId="10452"/>
    <cellStyle name="Normal 94 2 6" xfId="4469"/>
    <cellStyle name="Normal 94 2 6 2" xfId="8983"/>
    <cellStyle name="Normal 94 2 6 2 2" xfId="18024"/>
    <cellStyle name="Normal 94 2 6 3" xfId="13511"/>
    <cellStyle name="Normal 94 2 7" xfId="4796"/>
    <cellStyle name="Normal 94 2 7 2" xfId="13837"/>
    <cellStyle name="Normal 94 2 8" xfId="9324"/>
    <cellStyle name="Normal 94 3" xfId="325"/>
    <cellStyle name="Normal 94 3 2" xfId="889"/>
    <cellStyle name="Normal 94 3 2 2" xfId="2059"/>
    <cellStyle name="Normal 94 3 2 2 2" xfId="4483"/>
    <cellStyle name="Normal 94 3 2 2 2 2" xfId="8997"/>
    <cellStyle name="Normal 94 3 2 2 2 2 2" xfId="18038"/>
    <cellStyle name="Normal 94 3 2 2 2 3" xfId="13525"/>
    <cellStyle name="Normal 94 3 2 2 3" xfId="6582"/>
    <cellStyle name="Normal 94 3 2 2 3 2" xfId="15623"/>
    <cellStyle name="Normal 94 3 2 2 4" xfId="11110"/>
    <cellStyle name="Normal 94 3 2 3" xfId="4482"/>
    <cellStyle name="Normal 94 3 2 3 2" xfId="8996"/>
    <cellStyle name="Normal 94 3 2 3 2 2" xfId="18037"/>
    <cellStyle name="Normal 94 3 2 3 3" xfId="13524"/>
    <cellStyle name="Normal 94 3 2 4" xfId="5454"/>
    <cellStyle name="Normal 94 3 2 4 2" xfId="14495"/>
    <cellStyle name="Normal 94 3 2 5" xfId="9982"/>
    <cellStyle name="Normal 94 3 3" xfId="1495"/>
    <cellStyle name="Normal 94 3 3 2" xfId="4484"/>
    <cellStyle name="Normal 94 3 3 2 2" xfId="8998"/>
    <cellStyle name="Normal 94 3 3 2 2 2" xfId="18039"/>
    <cellStyle name="Normal 94 3 3 2 3" xfId="13526"/>
    <cellStyle name="Normal 94 3 3 3" xfId="6018"/>
    <cellStyle name="Normal 94 3 3 3 2" xfId="15059"/>
    <cellStyle name="Normal 94 3 3 4" xfId="10546"/>
    <cellStyle name="Normal 94 3 4" xfId="4481"/>
    <cellStyle name="Normal 94 3 4 2" xfId="8995"/>
    <cellStyle name="Normal 94 3 4 2 2" xfId="18036"/>
    <cellStyle name="Normal 94 3 4 3" xfId="13523"/>
    <cellStyle name="Normal 94 3 5" xfId="4890"/>
    <cellStyle name="Normal 94 3 5 2" xfId="13931"/>
    <cellStyle name="Normal 94 3 6" xfId="9418"/>
    <cellStyle name="Normal 94 4" xfId="513"/>
    <cellStyle name="Normal 94 4 2" xfId="1077"/>
    <cellStyle name="Normal 94 4 2 2" xfId="2247"/>
    <cellStyle name="Normal 94 4 2 2 2" xfId="4487"/>
    <cellStyle name="Normal 94 4 2 2 2 2" xfId="9001"/>
    <cellStyle name="Normal 94 4 2 2 2 2 2" xfId="18042"/>
    <cellStyle name="Normal 94 4 2 2 2 3" xfId="13529"/>
    <cellStyle name="Normal 94 4 2 2 3" xfId="6770"/>
    <cellStyle name="Normal 94 4 2 2 3 2" xfId="15811"/>
    <cellStyle name="Normal 94 4 2 2 4" xfId="11298"/>
    <cellStyle name="Normal 94 4 2 3" xfId="4486"/>
    <cellStyle name="Normal 94 4 2 3 2" xfId="9000"/>
    <cellStyle name="Normal 94 4 2 3 2 2" xfId="18041"/>
    <cellStyle name="Normal 94 4 2 3 3" xfId="13528"/>
    <cellStyle name="Normal 94 4 2 4" xfId="5642"/>
    <cellStyle name="Normal 94 4 2 4 2" xfId="14683"/>
    <cellStyle name="Normal 94 4 2 5" xfId="10170"/>
    <cellStyle name="Normal 94 4 3" xfId="1683"/>
    <cellStyle name="Normal 94 4 3 2" xfId="4488"/>
    <cellStyle name="Normal 94 4 3 2 2" xfId="9002"/>
    <cellStyle name="Normal 94 4 3 2 2 2" xfId="18043"/>
    <cellStyle name="Normal 94 4 3 2 3" xfId="13530"/>
    <cellStyle name="Normal 94 4 3 3" xfId="6206"/>
    <cellStyle name="Normal 94 4 3 3 2" xfId="15247"/>
    <cellStyle name="Normal 94 4 3 4" xfId="10734"/>
    <cellStyle name="Normal 94 4 4" xfId="4485"/>
    <cellStyle name="Normal 94 4 4 2" xfId="8999"/>
    <cellStyle name="Normal 94 4 4 2 2" xfId="18040"/>
    <cellStyle name="Normal 94 4 4 3" xfId="13527"/>
    <cellStyle name="Normal 94 4 5" xfId="5078"/>
    <cellStyle name="Normal 94 4 5 2" xfId="14119"/>
    <cellStyle name="Normal 94 4 6" xfId="9606"/>
    <cellStyle name="Normal 94 5" xfId="701"/>
    <cellStyle name="Normal 94 5 2" xfId="1871"/>
    <cellStyle name="Normal 94 5 2 2" xfId="4490"/>
    <cellStyle name="Normal 94 5 2 2 2" xfId="9004"/>
    <cellStyle name="Normal 94 5 2 2 2 2" xfId="18045"/>
    <cellStyle name="Normal 94 5 2 2 3" xfId="13532"/>
    <cellStyle name="Normal 94 5 2 3" xfId="6394"/>
    <cellStyle name="Normal 94 5 2 3 2" xfId="15435"/>
    <cellStyle name="Normal 94 5 2 4" xfId="10922"/>
    <cellStyle name="Normal 94 5 3" xfId="4489"/>
    <cellStyle name="Normal 94 5 3 2" xfId="9003"/>
    <cellStyle name="Normal 94 5 3 2 2" xfId="18044"/>
    <cellStyle name="Normal 94 5 3 3" xfId="13531"/>
    <cellStyle name="Normal 94 5 4" xfId="5266"/>
    <cellStyle name="Normal 94 5 4 2" xfId="14307"/>
    <cellStyle name="Normal 94 5 5" xfId="9794"/>
    <cellStyle name="Normal 94 6" xfId="1307"/>
    <cellStyle name="Normal 94 6 2" xfId="4491"/>
    <cellStyle name="Normal 94 6 2 2" xfId="9005"/>
    <cellStyle name="Normal 94 6 2 2 2" xfId="18046"/>
    <cellStyle name="Normal 94 6 2 3" xfId="13533"/>
    <cellStyle name="Normal 94 6 3" xfId="5830"/>
    <cellStyle name="Normal 94 6 3 2" xfId="14871"/>
    <cellStyle name="Normal 94 6 4" xfId="10358"/>
    <cellStyle name="Normal 94 7" xfId="4468"/>
    <cellStyle name="Normal 94 7 2" xfId="8982"/>
    <cellStyle name="Normal 94 7 2 2" xfId="18023"/>
    <cellStyle name="Normal 94 7 3" xfId="13510"/>
    <cellStyle name="Normal 94 8" xfId="4702"/>
    <cellStyle name="Normal 94 8 2" xfId="13743"/>
    <cellStyle name="Normal 94 9" xfId="9230"/>
    <cellStyle name="Normal 95" xfId="95"/>
    <cellStyle name="Normal 95 2" xfId="191"/>
    <cellStyle name="Normal 95 2 2" xfId="420"/>
    <cellStyle name="Normal 95 2 2 2" xfId="984"/>
    <cellStyle name="Normal 95 2 2 2 2" xfId="2154"/>
    <cellStyle name="Normal 95 2 2 2 2 2" xfId="4496"/>
    <cellStyle name="Normal 95 2 2 2 2 2 2" xfId="9010"/>
    <cellStyle name="Normal 95 2 2 2 2 2 2 2" xfId="18051"/>
    <cellStyle name="Normal 95 2 2 2 2 2 3" xfId="13538"/>
    <cellStyle name="Normal 95 2 2 2 2 3" xfId="6677"/>
    <cellStyle name="Normal 95 2 2 2 2 3 2" xfId="15718"/>
    <cellStyle name="Normal 95 2 2 2 2 4" xfId="11205"/>
    <cellStyle name="Normal 95 2 2 2 3" xfId="4495"/>
    <cellStyle name="Normal 95 2 2 2 3 2" xfId="9009"/>
    <cellStyle name="Normal 95 2 2 2 3 2 2" xfId="18050"/>
    <cellStyle name="Normal 95 2 2 2 3 3" xfId="13537"/>
    <cellStyle name="Normal 95 2 2 2 4" xfId="5549"/>
    <cellStyle name="Normal 95 2 2 2 4 2" xfId="14590"/>
    <cellStyle name="Normal 95 2 2 2 5" xfId="10077"/>
    <cellStyle name="Normal 95 2 2 3" xfId="1590"/>
    <cellStyle name="Normal 95 2 2 3 2" xfId="4497"/>
    <cellStyle name="Normal 95 2 2 3 2 2" xfId="9011"/>
    <cellStyle name="Normal 95 2 2 3 2 2 2" xfId="18052"/>
    <cellStyle name="Normal 95 2 2 3 2 3" xfId="13539"/>
    <cellStyle name="Normal 95 2 2 3 3" xfId="6113"/>
    <cellStyle name="Normal 95 2 2 3 3 2" xfId="15154"/>
    <cellStyle name="Normal 95 2 2 3 4" xfId="10641"/>
    <cellStyle name="Normal 95 2 2 4" xfId="4494"/>
    <cellStyle name="Normal 95 2 2 4 2" xfId="9008"/>
    <cellStyle name="Normal 95 2 2 4 2 2" xfId="18049"/>
    <cellStyle name="Normal 95 2 2 4 3" xfId="13536"/>
    <cellStyle name="Normal 95 2 2 5" xfId="4985"/>
    <cellStyle name="Normal 95 2 2 5 2" xfId="14026"/>
    <cellStyle name="Normal 95 2 2 6" xfId="9513"/>
    <cellStyle name="Normal 95 2 3" xfId="608"/>
    <cellStyle name="Normal 95 2 3 2" xfId="1172"/>
    <cellStyle name="Normal 95 2 3 2 2" xfId="2342"/>
    <cellStyle name="Normal 95 2 3 2 2 2" xfId="4500"/>
    <cellStyle name="Normal 95 2 3 2 2 2 2" xfId="9014"/>
    <cellStyle name="Normal 95 2 3 2 2 2 2 2" xfId="18055"/>
    <cellStyle name="Normal 95 2 3 2 2 2 3" xfId="13542"/>
    <cellStyle name="Normal 95 2 3 2 2 3" xfId="6865"/>
    <cellStyle name="Normal 95 2 3 2 2 3 2" xfId="15906"/>
    <cellStyle name="Normal 95 2 3 2 2 4" xfId="11393"/>
    <cellStyle name="Normal 95 2 3 2 3" xfId="4499"/>
    <cellStyle name="Normal 95 2 3 2 3 2" xfId="9013"/>
    <cellStyle name="Normal 95 2 3 2 3 2 2" xfId="18054"/>
    <cellStyle name="Normal 95 2 3 2 3 3" xfId="13541"/>
    <cellStyle name="Normal 95 2 3 2 4" xfId="5737"/>
    <cellStyle name="Normal 95 2 3 2 4 2" xfId="14778"/>
    <cellStyle name="Normal 95 2 3 2 5" xfId="10265"/>
    <cellStyle name="Normal 95 2 3 3" xfId="1778"/>
    <cellStyle name="Normal 95 2 3 3 2" xfId="4501"/>
    <cellStyle name="Normal 95 2 3 3 2 2" xfId="9015"/>
    <cellStyle name="Normal 95 2 3 3 2 2 2" xfId="18056"/>
    <cellStyle name="Normal 95 2 3 3 2 3" xfId="13543"/>
    <cellStyle name="Normal 95 2 3 3 3" xfId="6301"/>
    <cellStyle name="Normal 95 2 3 3 3 2" xfId="15342"/>
    <cellStyle name="Normal 95 2 3 3 4" xfId="10829"/>
    <cellStyle name="Normal 95 2 3 4" xfId="4498"/>
    <cellStyle name="Normal 95 2 3 4 2" xfId="9012"/>
    <cellStyle name="Normal 95 2 3 4 2 2" xfId="18053"/>
    <cellStyle name="Normal 95 2 3 4 3" xfId="13540"/>
    <cellStyle name="Normal 95 2 3 5" xfId="5173"/>
    <cellStyle name="Normal 95 2 3 5 2" xfId="14214"/>
    <cellStyle name="Normal 95 2 3 6" xfId="9701"/>
    <cellStyle name="Normal 95 2 4" xfId="796"/>
    <cellStyle name="Normal 95 2 4 2" xfId="1966"/>
    <cellStyle name="Normal 95 2 4 2 2" xfId="4503"/>
    <cellStyle name="Normal 95 2 4 2 2 2" xfId="9017"/>
    <cellStyle name="Normal 95 2 4 2 2 2 2" xfId="18058"/>
    <cellStyle name="Normal 95 2 4 2 2 3" xfId="13545"/>
    <cellStyle name="Normal 95 2 4 2 3" xfId="6489"/>
    <cellStyle name="Normal 95 2 4 2 3 2" xfId="15530"/>
    <cellStyle name="Normal 95 2 4 2 4" xfId="11017"/>
    <cellStyle name="Normal 95 2 4 3" xfId="4502"/>
    <cellStyle name="Normal 95 2 4 3 2" xfId="9016"/>
    <cellStyle name="Normal 95 2 4 3 2 2" xfId="18057"/>
    <cellStyle name="Normal 95 2 4 3 3" xfId="13544"/>
    <cellStyle name="Normal 95 2 4 4" xfId="5361"/>
    <cellStyle name="Normal 95 2 4 4 2" xfId="14402"/>
    <cellStyle name="Normal 95 2 4 5" xfId="9889"/>
    <cellStyle name="Normal 95 2 5" xfId="1402"/>
    <cellStyle name="Normal 95 2 5 2" xfId="4504"/>
    <cellStyle name="Normal 95 2 5 2 2" xfId="9018"/>
    <cellStyle name="Normal 95 2 5 2 2 2" xfId="18059"/>
    <cellStyle name="Normal 95 2 5 2 3" xfId="13546"/>
    <cellStyle name="Normal 95 2 5 3" xfId="5925"/>
    <cellStyle name="Normal 95 2 5 3 2" xfId="14966"/>
    <cellStyle name="Normal 95 2 5 4" xfId="10453"/>
    <cellStyle name="Normal 95 2 6" xfId="4493"/>
    <cellStyle name="Normal 95 2 6 2" xfId="9007"/>
    <cellStyle name="Normal 95 2 6 2 2" xfId="18048"/>
    <cellStyle name="Normal 95 2 6 3" xfId="13535"/>
    <cellStyle name="Normal 95 2 7" xfId="4797"/>
    <cellStyle name="Normal 95 2 7 2" xfId="13838"/>
    <cellStyle name="Normal 95 2 8" xfId="9325"/>
    <cellStyle name="Normal 95 3" xfId="326"/>
    <cellStyle name="Normal 95 3 2" xfId="890"/>
    <cellStyle name="Normal 95 3 2 2" xfId="2060"/>
    <cellStyle name="Normal 95 3 2 2 2" xfId="4507"/>
    <cellStyle name="Normal 95 3 2 2 2 2" xfId="9021"/>
    <cellStyle name="Normal 95 3 2 2 2 2 2" xfId="18062"/>
    <cellStyle name="Normal 95 3 2 2 2 3" xfId="13549"/>
    <cellStyle name="Normal 95 3 2 2 3" xfId="6583"/>
    <cellStyle name="Normal 95 3 2 2 3 2" xfId="15624"/>
    <cellStyle name="Normal 95 3 2 2 4" xfId="11111"/>
    <cellStyle name="Normal 95 3 2 3" xfId="4506"/>
    <cellStyle name="Normal 95 3 2 3 2" xfId="9020"/>
    <cellStyle name="Normal 95 3 2 3 2 2" xfId="18061"/>
    <cellStyle name="Normal 95 3 2 3 3" xfId="13548"/>
    <cellStyle name="Normal 95 3 2 4" xfId="5455"/>
    <cellStyle name="Normal 95 3 2 4 2" xfId="14496"/>
    <cellStyle name="Normal 95 3 2 5" xfId="9983"/>
    <cellStyle name="Normal 95 3 3" xfId="1496"/>
    <cellStyle name="Normal 95 3 3 2" xfId="4508"/>
    <cellStyle name="Normal 95 3 3 2 2" xfId="9022"/>
    <cellStyle name="Normal 95 3 3 2 2 2" xfId="18063"/>
    <cellStyle name="Normal 95 3 3 2 3" xfId="13550"/>
    <cellStyle name="Normal 95 3 3 3" xfId="6019"/>
    <cellStyle name="Normal 95 3 3 3 2" xfId="15060"/>
    <cellStyle name="Normal 95 3 3 4" xfId="10547"/>
    <cellStyle name="Normal 95 3 4" xfId="4505"/>
    <cellStyle name="Normal 95 3 4 2" xfId="9019"/>
    <cellStyle name="Normal 95 3 4 2 2" xfId="18060"/>
    <cellStyle name="Normal 95 3 4 3" xfId="13547"/>
    <cellStyle name="Normal 95 3 5" xfId="4891"/>
    <cellStyle name="Normal 95 3 5 2" xfId="13932"/>
    <cellStyle name="Normal 95 3 6" xfId="9419"/>
    <cellStyle name="Normal 95 4" xfId="514"/>
    <cellStyle name="Normal 95 4 2" xfId="1078"/>
    <cellStyle name="Normal 95 4 2 2" xfId="2248"/>
    <cellStyle name="Normal 95 4 2 2 2" xfId="4511"/>
    <cellStyle name="Normal 95 4 2 2 2 2" xfId="9025"/>
    <cellStyle name="Normal 95 4 2 2 2 2 2" xfId="18066"/>
    <cellStyle name="Normal 95 4 2 2 2 3" xfId="13553"/>
    <cellStyle name="Normal 95 4 2 2 3" xfId="6771"/>
    <cellStyle name="Normal 95 4 2 2 3 2" xfId="15812"/>
    <cellStyle name="Normal 95 4 2 2 4" xfId="11299"/>
    <cellStyle name="Normal 95 4 2 3" xfId="4510"/>
    <cellStyle name="Normal 95 4 2 3 2" xfId="9024"/>
    <cellStyle name="Normal 95 4 2 3 2 2" xfId="18065"/>
    <cellStyle name="Normal 95 4 2 3 3" xfId="13552"/>
    <cellStyle name="Normal 95 4 2 4" xfId="5643"/>
    <cellStyle name="Normal 95 4 2 4 2" xfId="14684"/>
    <cellStyle name="Normal 95 4 2 5" xfId="10171"/>
    <cellStyle name="Normal 95 4 3" xfId="1684"/>
    <cellStyle name="Normal 95 4 3 2" xfId="4512"/>
    <cellStyle name="Normal 95 4 3 2 2" xfId="9026"/>
    <cellStyle name="Normal 95 4 3 2 2 2" xfId="18067"/>
    <cellStyle name="Normal 95 4 3 2 3" xfId="13554"/>
    <cellStyle name="Normal 95 4 3 3" xfId="6207"/>
    <cellStyle name="Normal 95 4 3 3 2" xfId="15248"/>
    <cellStyle name="Normal 95 4 3 4" xfId="10735"/>
    <cellStyle name="Normal 95 4 4" xfId="4509"/>
    <cellStyle name="Normal 95 4 4 2" xfId="9023"/>
    <cellStyle name="Normal 95 4 4 2 2" xfId="18064"/>
    <cellStyle name="Normal 95 4 4 3" xfId="13551"/>
    <cellStyle name="Normal 95 4 5" xfId="5079"/>
    <cellStyle name="Normal 95 4 5 2" xfId="14120"/>
    <cellStyle name="Normal 95 4 6" xfId="9607"/>
    <cellStyle name="Normal 95 5" xfId="702"/>
    <cellStyle name="Normal 95 5 2" xfId="1872"/>
    <cellStyle name="Normal 95 5 2 2" xfId="4514"/>
    <cellStyle name="Normal 95 5 2 2 2" xfId="9028"/>
    <cellStyle name="Normal 95 5 2 2 2 2" xfId="18069"/>
    <cellStyle name="Normal 95 5 2 2 3" xfId="13556"/>
    <cellStyle name="Normal 95 5 2 3" xfId="6395"/>
    <cellStyle name="Normal 95 5 2 3 2" xfId="15436"/>
    <cellStyle name="Normal 95 5 2 4" xfId="10923"/>
    <cellStyle name="Normal 95 5 3" xfId="4513"/>
    <cellStyle name="Normal 95 5 3 2" xfId="9027"/>
    <cellStyle name="Normal 95 5 3 2 2" xfId="18068"/>
    <cellStyle name="Normal 95 5 3 3" xfId="13555"/>
    <cellStyle name="Normal 95 5 4" xfId="5267"/>
    <cellStyle name="Normal 95 5 4 2" xfId="14308"/>
    <cellStyle name="Normal 95 5 5" xfId="9795"/>
    <cellStyle name="Normal 95 6" xfId="1308"/>
    <cellStyle name="Normal 95 6 2" xfId="4515"/>
    <cellStyle name="Normal 95 6 2 2" xfId="9029"/>
    <cellStyle name="Normal 95 6 2 2 2" xfId="18070"/>
    <cellStyle name="Normal 95 6 2 3" xfId="13557"/>
    <cellStyle name="Normal 95 6 3" xfId="5831"/>
    <cellStyle name="Normal 95 6 3 2" xfId="14872"/>
    <cellStyle name="Normal 95 6 4" xfId="10359"/>
    <cellStyle name="Normal 95 7" xfId="4492"/>
    <cellStyle name="Normal 95 7 2" xfId="9006"/>
    <cellStyle name="Normal 95 7 2 2" xfId="18047"/>
    <cellStyle name="Normal 95 7 3" xfId="13534"/>
    <cellStyle name="Normal 95 8" xfId="4703"/>
    <cellStyle name="Normal 95 8 2" xfId="13744"/>
    <cellStyle name="Normal 95 9" xfId="9231"/>
    <cellStyle name="Normal 96" xfId="96"/>
    <cellStyle name="Normal 96 2" xfId="192"/>
    <cellStyle name="Normal 96 2 2" xfId="421"/>
    <cellStyle name="Normal 96 2 2 2" xfId="985"/>
    <cellStyle name="Normal 96 2 2 2 2" xfId="2155"/>
    <cellStyle name="Normal 96 2 2 2 2 2" xfId="4520"/>
    <cellStyle name="Normal 96 2 2 2 2 2 2" xfId="9034"/>
    <cellStyle name="Normal 96 2 2 2 2 2 2 2" xfId="18075"/>
    <cellStyle name="Normal 96 2 2 2 2 2 3" xfId="13562"/>
    <cellStyle name="Normal 96 2 2 2 2 3" xfId="6678"/>
    <cellStyle name="Normal 96 2 2 2 2 3 2" xfId="15719"/>
    <cellStyle name="Normal 96 2 2 2 2 4" xfId="11206"/>
    <cellStyle name="Normal 96 2 2 2 3" xfId="4519"/>
    <cellStyle name="Normal 96 2 2 2 3 2" xfId="9033"/>
    <cellStyle name="Normal 96 2 2 2 3 2 2" xfId="18074"/>
    <cellStyle name="Normal 96 2 2 2 3 3" xfId="13561"/>
    <cellStyle name="Normal 96 2 2 2 4" xfId="5550"/>
    <cellStyle name="Normal 96 2 2 2 4 2" xfId="14591"/>
    <cellStyle name="Normal 96 2 2 2 5" xfId="10078"/>
    <cellStyle name="Normal 96 2 2 3" xfId="1591"/>
    <cellStyle name="Normal 96 2 2 3 2" xfId="4521"/>
    <cellStyle name="Normal 96 2 2 3 2 2" xfId="9035"/>
    <cellStyle name="Normal 96 2 2 3 2 2 2" xfId="18076"/>
    <cellStyle name="Normal 96 2 2 3 2 3" xfId="13563"/>
    <cellStyle name="Normal 96 2 2 3 3" xfId="6114"/>
    <cellStyle name="Normal 96 2 2 3 3 2" xfId="15155"/>
    <cellStyle name="Normal 96 2 2 3 4" xfId="10642"/>
    <cellStyle name="Normal 96 2 2 4" xfId="4518"/>
    <cellStyle name="Normal 96 2 2 4 2" xfId="9032"/>
    <cellStyle name="Normal 96 2 2 4 2 2" xfId="18073"/>
    <cellStyle name="Normal 96 2 2 4 3" xfId="13560"/>
    <cellStyle name="Normal 96 2 2 5" xfId="4986"/>
    <cellStyle name="Normal 96 2 2 5 2" xfId="14027"/>
    <cellStyle name="Normal 96 2 2 6" xfId="9514"/>
    <cellStyle name="Normal 96 2 3" xfId="609"/>
    <cellStyle name="Normal 96 2 3 2" xfId="1173"/>
    <cellStyle name="Normal 96 2 3 2 2" xfId="2343"/>
    <cellStyle name="Normal 96 2 3 2 2 2" xfId="4524"/>
    <cellStyle name="Normal 96 2 3 2 2 2 2" xfId="9038"/>
    <cellStyle name="Normal 96 2 3 2 2 2 2 2" xfId="18079"/>
    <cellStyle name="Normal 96 2 3 2 2 2 3" xfId="13566"/>
    <cellStyle name="Normal 96 2 3 2 2 3" xfId="6866"/>
    <cellStyle name="Normal 96 2 3 2 2 3 2" xfId="15907"/>
    <cellStyle name="Normal 96 2 3 2 2 4" xfId="11394"/>
    <cellStyle name="Normal 96 2 3 2 3" xfId="4523"/>
    <cellStyle name="Normal 96 2 3 2 3 2" xfId="9037"/>
    <cellStyle name="Normal 96 2 3 2 3 2 2" xfId="18078"/>
    <cellStyle name="Normal 96 2 3 2 3 3" xfId="13565"/>
    <cellStyle name="Normal 96 2 3 2 4" xfId="5738"/>
    <cellStyle name="Normal 96 2 3 2 4 2" xfId="14779"/>
    <cellStyle name="Normal 96 2 3 2 5" xfId="10266"/>
    <cellStyle name="Normal 96 2 3 3" xfId="1779"/>
    <cellStyle name="Normal 96 2 3 3 2" xfId="4525"/>
    <cellStyle name="Normal 96 2 3 3 2 2" xfId="9039"/>
    <cellStyle name="Normal 96 2 3 3 2 2 2" xfId="18080"/>
    <cellStyle name="Normal 96 2 3 3 2 3" xfId="13567"/>
    <cellStyle name="Normal 96 2 3 3 3" xfId="6302"/>
    <cellStyle name="Normal 96 2 3 3 3 2" xfId="15343"/>
    <cellStyle name="Normal 96 2 3 3 4" xfId="10830"/>
    <cellStyle name="Normal 96 2 3 4" xfId="4522"/>
    <cellStyle name="Normal 96 2 3 4 2" xfId="9036"/>
    <cellStyle name="Normal 96 2 3 4 2 2" xfId="18077"/>
    <cellStyle name="Normal 96 2 3 4 3" xfId="13564"/>
    <cellStyle name="Normal 96 2 3 5" xfId="5174"/>
    <cellStyle name="Normal 96 2 3 5 2" xfId="14215"/>
    <cellStyle name="Normal 96 2 3 6" xfId="9702"/>
    <cellStyle name="Normal 96 2 4" xfId="797"/>
    <cellStyle name="Normal 96 2 4 2" xfId="1967"/>
    <cellStyle name="Normal 96 2 4 2 2" xfId="4527"/>
    <cellStyle name="Normal 96 2 4 2 2 2" xfId="9041"/>
    <cellStyle name="Normal 96 2 4 2 2 2 2" xfId="18082"/>
    <cellStyle name="Normal 96 2 4 2 2 3" xfId="13569"/>
    <cellStyle name="Normal 96 2 4 2 3" xfId="6490"/>
    <cellStyle name="Normal 96 2 4 2 3 2" xfId="15531"/>
    <cellStyle name="Normal 96 2 4 2 4" xfId="11018"/>
    <cellStyle name="Normal 96 2 4 3" xfId="4526"/>
    <cellStyle name="Normal 96 2 4 3 2" xfId="9040"/>
    <cellStyle name="Normal 96 2 4 3 2 2" xfId="18081"/>
    <cellStyle name="Normal 96 2 4 3 3" xfId="13568"/>
    <cellStyle name="Normal 96 2 4 4" xfId="5362"/>
    <cellStyle name="Normal 96 2 4 4 2" xfId="14403"/>
    <cellStyle name="Normal 96 2 4 5" xfId="9890"/>
    <cellStyle name="Normal 96 2 5" xfId="1403"/>
    <cellStyle name="Normal 96 2 5 2" xfId="4528"/>
    <cellStyle name="Normal 96 2 5 2 2" xfId="9042"/>
    <cellStyle name="Normal 96 2 5 2 2 2" xfId="18083"/>
    <cellStyle name="Normal 96 2 5 2 3" xfId="13570"/>
    <cellStyle name="Normal 96 2 5 3" xfId="5926"/>
    <cellStyle name="Normal 96 2 5 3 2" xfId="14967"/>
    <cellStyle name="Normal 96 2 5 4" xfId="10454"/>
    <cellStyle name="Normal 96 2 6" xfId="4517"/>
    <cellStyle name="Normal 96 2 6 2" xfId="9031"/>
    <cellStyle name="Normal 96 2 6 2 2" xfId="18072"/>
    <cellStyle name="Normal 96 2 6 3" xfId="13559"/>
    <cellStyle name="Normal 96 2 7" xfId="4798"/>
    <cellStyle name="Normal 96 2 7 2" xfId="13839"/>
    <cellStyle name="Normal 96 2 8" xfId="9326"/>
    <cellStyle name="Normal 96 3" xfId="327"/>
    <cellStyle name="Normal 96 3 2" xfId="891"/>
    <cellStyle name="Normal 96 3 2 2" xfId="2061"/>
    <cellStyle name="Normal 96 3 2 2 2" xfId="4531"/>
    <cellStyle name="Normal 96 3 2 2 2 2" xfId="9045"/>
    <cellStyle name="Normal 96 3 2 2 2 2 2" xfId="18086"/>
    <cellStyle name="Normal 96 3 2 2 2 3" xfId="13573"/>
    <cellStyle name="Normal 96 3 2 2 3" xfId="6584"/>
    <cellStyle name="Normal 96 3 2 2 3 2" xfId="15625"/>
    <cellStyle name="Normal 96 3 2 2 4" xfId="11112"/>
    <cellStyle name="Normal 96 3 2 3" xfId="4530"/>
    <cellStyle name="Normal 96 3 2 3 2" xfId="9044"/>
    <cellStyle name="Normal 96 3 2 3 2 2" xfId="18085"/>
    <cellStyle name="Normal 96 3 2 3 3" xfId="13572"/>
    <cellStyle name="Normal 96 3 2 4" xfId="5456"/>
    <cellStyle name="Normal 96 3 2 4 2" xfId="14497"/>
    <cellStyle name="Normal 96 3 2 5" xfId="9984"/>
    <cellStyle name="Normal 96 3 3" xfId="1497"/>
    <cellStyle name="Normal 96 3 3 2" xfId="4532"/>
    <cellStyle name="Normal 96 3 3 2 2" xfId="9046"/>
    <cellStyle name="Normal 96 3 3 2 2 2" xfId="18087"/>
    <cellStyle name="Normal 96 3 3 2 3" xfId="13574"/>
    <cellStyle name="Normal 96 3 3 3" xfId="6020"/>
    <cellStyle name="Normal 96 3 3 3 2" xfId="15061"/>
    <cellStyle name="Normal 96 3 3 4" xfId="10548"/>
    <cellStyle name="Normal 96 3 4" xfId="4529"/>
    <cellStyle name="Normal 96 3 4 2" xfId="9043"/>
    <cellStyle name="Normal 96 3 4 2 2" xfId="18084"/>
    <cellStyle name="Normal 96 3 4 3" xfId="13571"/>
    <cellStyle name="Normal 96 3 5" xfId="4892"/>
    <cellStyle name="Normal 96 3 5 2" xfId="13933"/>
    <cellStyle name="Normal 96 3 6" xfId="9420"/>
    <cellStyle name="Normal 96 4" xfId="515"/>
    <cellStyle name="Normal 96 4 2" xfId="1079"/>
    <cellStyle name="Normal 96 4 2 2" xfId="2249"/>
    <cellStyle name="Normal 96 4 2 2 2" xfId="4535"/>
    <cellStyle name="Normal 96 4 2 2 2 2" xfId="9049"/>
    <cellStyle name="Normal 96 4 2 2 2 2 2" xfId="18090"/>
    <cellStyle name="Normal 96 4 2 2 2 3" xfId="13577"/>
    <cellStyle name="Normal 96 4 2 2 3" xfId="6772"/>
    <cellStyle name="Normal 96 4 2 2 3 2" xfId="15813"/>
    <cellStyle name="Normal 96 4 2 2 4" xfId="11300"/>
    <cellStyle name="Normal 96 4 2 3" xfId="4534"/>
    <cellStyle name="Normal 96 4 2 3 2" xfId="9048"/>
    <cellStyle name="Normal 96 4 2 3 2 2" xfId="18089"/>
    <cellStyle name="Normal 96 4 2 3 3" xfId="13576"/>
    <cellStyle name="Normal 96 4 2 4" xfId="5644"/>
    <cellStyle name="Normal 96 4 2 4 2" xfId="14685"/>
    <cellStyle name="Normal 96 4 2 5" xfId="10172"/>
    <cellStyle name="Normal 96 4 3" xfId="1685"/>
    <cellStyle name="Normal 96 4 3 2" xfId="4536"/>
    <cellStyle name="Normal 96 4 3 2 2" xfId="9050"/>
    <cellStyle name="Normal 96 4 3 2 2 2" xfId="18091"/>
    <cellStyle name="Normal 96 4 3 2 3" xfId="13578"/>
    <cellStyle name="Normal 96 4 3 3" xfId="6208"/>
    <cellStyle name="Normal 96 4 3 3 2" xfId="15249"/>
    <cellStyle name="Normal 96 4 3 4" xfId="10736"/>
    <cellStyle name="Normal 96 4 4" xfId="4533"/>
    <cellStyle name="Normal 96 4 4 2" xfId="9047"/>
    <cellStyle name="Normal 96 4 4 2 2" xfId="18088"/>
    <cellStyle name="Normal 96 4 4 3" xfId="13575"/>
    <cellStyle name="Normal 96 4 5" xfId="5080"/>
    <cellStyle name="Normal 96 4 5 2" xfId="14121"/>
    <cellStyle name="Normal 96 4 6" xfId="9608"/>
    <cellStyle name="Normal 96 5" xfId="703"/>
    <cellStyle name="Normal 96 5 2" xfId="1873"/>
    <cellStyle name="Normal 96 5 2 2" xfId="4538"/>
    <cellStyle name="Normal 96 5 2 2 2" xfId="9052"/>
    <cellStyle name="Normal 96 5 2 2 2 2" xfId="18093"/>
    <cellStyle name="Normal 96 5 2 2 3" xfId="13580"/>
    <cellStyle name="Normal 96 5 2 3" xfId="6396"/>
    <cellStyle name="Normal 96 5 2 3 2" xfId="15437"/>
    <cellStyle name="Normal 96 5 2 4" xfId="10924"/>
    <cellStyle name="Normal 96 5 3" xfId="4537"/>
    <cellStyle name="Normal 96 5 3 2" xfId="9051"/>
    <cellStyle name="Normal 96 5 3 2 2" xfId="18092"/>
    <cellStyle name="Normal 96 5 3 3" xfId="13579"/>
    <cellStyle name="Normal 96 5 4" xfId="5268"/>
    <cellStyle name="Normal 96 5 4 2" xfId="14309"/>
    <cellStyle name="Normal 96 5 5" xfId="9796"/>
    <cellStyle name="Normal 96 6" xfId="1309"/>
    <cellStyle name="Normal 96 6 2" xfId="4539"/>
    <cellStyle name="Normal 96 6 2 2" xfId="9053"/>
    <cellStyle name="Normal 96 6 2 2 2" xfId="18094"/>
    <cellStyle name="Normal 96 6 2 3" xfId="13581"/>
    <cellStyle name="Normal 96 6 3" xfId="5832"/>
    <cellStyle name="Normal 96 6 3 2" xfId="14873"/>
    <cellStyle name="Normal 96 6 4" xfId="10360"/>
    <cellStyle name="Normal 96 7" xfId="4516"/>
    <cellStyle name="Normal 96 7 2" xfId="9030"/>
    <cellStyle name="Normal 96 7 2 2" xfId="18071"/>
    <cellStyle name="Normal 96 7 3" xfId="13558"/>
    <cellStyle name="Normal 96 8" xfId="4704"/>
    <cellStyle name="Normal 96 8 2" xfId="13745"/>
    <cellStyle name="Normal 96 9" xfId="9232"/>
    <cellStyle name="Normal 97" xfId="97"/>
    <cellStyle name="Normal 97 2" xfId="193"/>
    <cellStyle name="Normal 97 2 2" xfId="422"/>
    <cellStyle name="Normal 97 2 2 2" xfId="986"/>
    <cellStyle name="Normal 97 2 2 2 2" xfId="2156"/>
    <cellStyle name="Normal 97 2 2 2 2 2" xfId="4544"/>
    <cellStyle name="Normal 97 2 2 2 2 2 2" xfId="9058"/>
    <cellStyle name="Normal 97 2 2 2 2 2 2 2" xfId="18099"/>
    <cellStyle name="Normal 97 2 2 2 2 2 3" xfId="13586"/>
    <cellStyle name="Normal 97 2 2 2 2 3" xfId="6679"/>
    <cellStyle name="Normal 97 2 2 2 2 3 2" xfId="15720"/>
    <cellStyle name="Normal 97 2 2 2 2 4" xfId="11207"/>
    <cellStyle name="Normal 97 2 2 2 3" xfId="4543"/>
    <cellStyle name="Normal 97 2 2 2 3 2" xfId="9057"/>
    <cellStyle name="Normal 97 2 2 2 3 2 2" xfId="18098"/>
    <cellStyle name="Normal 97 2 2 2 3 3" xfId="13585"/>
    <cellStyle name="Normal 97 2 2 2 4" xfId="5551"/>
    <cellStyle name="Normal 97 2 2 2 4 2" xfId="14592"/>
    <cellStyle name="Normal 97 2 2 2 5" xfId="10079"/>
    <cellStyle name="Normal 97 2 2 3" xfId="1592"/>
    <cellStyle name="Normal 97 2 2 3 2" xfId="4545"/>
    <cellStyle name="Normal 97 2 2 3 2 2" xfId="9059"/>
    <cellStyle name="Normal 97 2 2 3 2 2 2" xfId="18100"/>
    <cellStyle name="Normal 97 2 2 3 2 3" xfId="13587"/>
    <cellStyle name="Normal 97 2 2 3 3" xfId="6115"/>
    <cellStyle name="Normal 97 2 2 3 3 2" xfId="15156"/>
    <cellStyle name="Normal 97 2 2 3 4" xfId="10643"/>
    <cellStyle name="Normal 97 2 2 4" xfId="4542"/>
    <cellStyle name="Normal 97 2 2 4 2" xfId="9056"/>
    <cellStyle name="Normal 97 2 2 4 2 2" xfId="18097"/>
    <cellStyle name="Normal 97 2 2 4 3" xfId="13584"/>
    <cellStyle name="Normal 97 2 2 5" xfId="4987"/>
    <cellStyle name="Normal 97 2 2 5 2" xfId="14028"/>
    <cellStyle name="Normal 97 2 2 6" xfId="9515"/>
    <cellStyle name="Normal 97 2 3" xfId="610"/>
    <cellStyle name="Normal 97 2 3 2" xfId="1174"/>
    <cellStyle name="Normal 97 2 3 2 2" xfId="2344"/>
    <cellStyle name="Normal 97 2 3 2 2 2" xfId="4548"/>
    <cellStyle name="Normal 97 2 3 2 2 2 2" xfId="9062"/>
    <cellStyle name="Normal 97 2 3 2 2 2 2 2" xfId="18103"/>
    <cellStyle name="Normal 97 2 3 2 2 2 3" xfId="13590"/>
    <cellStyle name="Normal 97 2 3 2 2 3" xfId="6867"/>
    <cellStyle name="Normal 97 2 3 2 2 3 2" xfId="15908"/>
    <cellStyle name="Normal 97 2 3 2 2 4" xfId="11395"/>
    <cellStyle name="Normal 97 2 3 2 3" xfId="4547"/>
    <cellStyle name="Normal 97 2 3 2 3 2" xfId="9061"/>
    <cellStyle name="Normal 97 2 3 2 3 2 2" xfId="18102"/>
    <cellStyle name="Normal 97 2 3 2 3 3" xfId="13589"/>
    <cellStyle name="Normal 97 2 3 2 4" xfId="5739"/>
    <cellStyle name="Normal 97 2 3 2 4 2" xfId="14780"/>
    <cellStyle name="Normal 97 2 3 2 5" xfId="10267"/>
    <cellStyle name="Normal 97 2 3 3" xfId="1780"/>
    <cellStyle name="Normal 97 2 3 3 2" xfId="4549"/>
    <cellStyle name="Normal 97 2 3 3 2 2" xfId="9063"/>
    <cellStyle name="Normal 97 2 3 3 2 2 2" xfId="18104"/>
    <cellStyle name="Normal 97 2 3 3 2 3" xfId="13591"/>
    <cellStyle name="Normal 97 2 3 3 3" xfId="6303"/>
    <cellStyle name="Normal 97 2 3 3 3 2" xfId="15344"/>
    <cellStyle name="Normal 97 2 3 3 4" xfId="10831"/>
    <cellStyle name="Normal 97 2 3 4" xfId="4546"/>
    <cellStyle name="Normal 97 2 3 4 2" xfId="9060"/>
    <cellStyle name="Normal 97 2 3 4 2 2" xfId="18101"/>
    <cellStyle name="Normal 97 2 3 4 3" xfId="13588"/>
    <cellStyle name="Normal 97 2 3 5" xfId="5175"/>
    <cellStyle name="Normal 97 2 3 5 2" xfId="14216"/>
    <cellStyle name="Normal 97 2 3 6" xfId="9703"/>
    <cellStyle name="Normal 97 2 4" xfId="798"/>
    <cellStyle name="Normal 97 2 4 2" xfId="1968"/>
    <cellStyle name="Normal 97 2 4 2 2" xfId="4551"/>
    <cellStyle name="Normal 97 2 4 2 2 2" xfId="9065"/>
    <cellStyle name="Normal 97 2 4 2 2 2 2" xfId="18106"/>
    <cellStyle name="Normal 97 2 4 2 2 3" xfId="13593"/>
    <cellStyle name="Normal 97 2 4 2 3" xfId="6491"/>
    <cellStyle name="Normal 97 2 4 2 3 2" xfId="15532"/>
    <cellStyle name="Normal 97 2 4 2 4" xfId="11019"/>
    <cellStyle name="Normal 97 2 4 3" xfId="4550"/>
    <cellStyle name="Normal 97 2 4 3 2" xfId="9064"/>
    <cellStyle name="Normal 97 2 4 3 2 2" xfId="18105"/>
    <cellStyle name="Normal 97 2 4 3 3" xfId="13592"/>
    <cellStyle name="Normal 97 2 4 4" xfId="5363"/>
    <cellStyle name="Normal 97 2 4 4 2" xfId="14404"/>
    <cellStyle name="Normal 97 2 4 5" xfId="9891"/>
    <cellStyle name="Normal 97 2 5" xfId="1404"/>
    <cellStyle name="Normal 97 2 5 2" xfId="4552"/>
    <cellStyle name="Normal 97 2 5 2 2" xfId="9066"/>
    <cellStyle name="Normal 97 2 5 2 2 2" xfId="18107"/>
    <cellStyle name="Normal 97 2 5 2 3" xfId="13594"/>
    <cellStyle name="Normal 97 2 5 3" xfId="5927"/>
    <cellStyle name="Normal 97 2 5 3 2" xfId="14968"/>
    <cellStyle name="Normal 97 2 5 4" xfId="10455"/>
    <cellStyle name="Normal 97 2 6" xfId="4541"/>
    <cellStyle name="Normal 97 2 6 2" xfId="9055"/>
    <cellStyle name="Normal 97 2 6 2 2" xfId="18096"/>
    <cellStyle name="Normal 97 2 6 3" xfId="13583"/>
    <cellStyle name="Normal 97 2 7" xfId="4799"/>
    <cellStyle name="Normal 97 2 7 2" xfId="13840"/>
    <cellStyle name="Normal 97 2 8" xfId="9327"/>
    <cellStyle name="Normal 97 3" xfId="328"/>
    <cellStyle name="Normal 97 3 2" xfId="892"/>
    <cellStyle name="Normal 97 3 2 2" xfId="2062"/>
    <cellStyle name="Normal 97 3 2 2 2" xfId="4555"/>
    <cellStyle name="Normal 97 3 2 2 2 2" xfId="9069"/>
    <cellStyle name="Normal 97 3 2 2 2 2 2" xfId="18110"/>
    <cellStyle name="Normal 97 3 2 2 2 3" xfId="13597"/>
    <cellStyle name="Normal 97 3 2 2 3" xfId="6585"/>
    <cellStyle name="Normal 97 3 2 2 3 2" xfId="15626"/>
    <cellStyle name="Normal 97 3 2 2 4" xfId="11113"/>
    <cellStyle name="Normal 97 3 2 3" xfId="4554"/>
    <cellStyle name="Normal 97 3 2 3 2" xfId="9068"/>
    <cellStyle name="Normal 97 3 2 3 2 2" xfId="18109"/>
    <cellStyle name="Normal 97 3 2 3 3" xfId="13596"/>
    <cellStyle name="Normal 97 3 2 4" xfId="5457"/>
    <cellStyle name="Normal 97 3 2 4 2" xfId="14498"/>
    <cellStyle name="Normal 97 3 2 5" xfId="9985"/>
    <cellStyle name="Normal 97 3 3" xfId="1498"/>
    <cellStyle name="Normal 97 3 3 2" xfId="4556"/>
    <cellStyle name="Normal 97 3 3 2 2" xfId="9070"/>
    <cellStyle name="Normal 97 3 3 2 2 2" xfId="18111"/>
    <cellStyle name="Normal 97 3 3 2 3" xfId="13598"/>
    <cellStyle name="Normal 97 3 3 3" xfId="6021"/>
    <cellStyle name="Normal 97 3 3 3 2" xfId="15062"/>
    <cellStyle name="Normal 97 3 3 4" xfId="10549"/>
    <cellStyle name="Normal 97 3 4" xfId="4553"/>
    <cellStyle name="Normal 97 3 4 2" xfId="9067"/>
    <cellStyle name="Normal 97 3 4 2 2" xfId="18108"/>
    <cellStyle name="Normal 97 3 4 3" xfId="13595"/>
    <cellStyle name="Normal 97 3 5" xfId="4893"/>
    <cellStyle name="Normal 97 3 5 2" xfId="13934"/>
    <cellStyle name="Normal 97 3 6" xfId="9421"/>
    <cellStyle name="Normal 97 4" xfId="516"/>
    <cellStyle name="Normal 97 4 2" xfId="1080"/>
    <cellStyle name="Normal 97 4 2 2" xfId="2250"/>
    <cellStyle name="Normal 97 4 2 2 2" xfId="4559"/>
    <cellStyle name="Normal 97 4 2 2 2 2" xfId="9073"/>
    <cellStyle name="Normal 97 4 2 2 2 2 2" xfId="18114"/>
    <cellStyle name="Normal 97 4 2 2 2 3" xfId="13601"/>
    <cellStyle name="Normal 97 4 2 2 3" xfId="6773"/>
    <cellStyle name="Normal 97 4 2 2 3 2" xfId="15814"/>
    <cellStyle name="Normal 97 4 2 2 4" xfId="11301"/>
    <cellStyle name="Normal 97 4 2 3" xfId="4558"/>
    <cellStyle name="Normal 97 4 2 3 2" xfId="9072"/>
    <cellStyle name="Normal 97 4 2 3 2 2" xfId="18113"/>
    <cellStyle name="Normal 97 4 2 3 3" xfId="13600"/>
    <cellStyle name="Normal 97 4 2 4" xfId="5645"/>
    <cellStyle name="Normal 97 4 2 4 2" xfId="14686"/>
    <cellStyle name="Normal 97 4 2 5" xfId="10173"/>
    <cellStyle name="Normal 97 4 3" xfId="1686"/>
    <cellStyle name="Normal 97 4 3 2" xfId="4560"/>
    <cellStyle name="Normal 97 4 3 2 2" xfId="9074"/>
    <cellStyle name="Normal 97 4 3 2 2 2" xfId="18115"/>
    <cellStyle name="Normal 97 4 3 2 3" xfId="13602"/>
    <cellStyle name="Normal 97 4 3 3" xfId="6209"/>
    <cellStyle name="Normal 97 4 3 3 2" xfId="15250"/>
    <cellStyle name="Normal 97 4 3 4" xfId="10737"/>
    <cellStyle name="Normal 97 4 4" xfId="4557"/>
    <cellStyle name="Normal 97 4 4 2" xfId="9071"/>
    <cellStyle name="Normal 97 4 4 2 2" xfId="18112"/>
    <cellStyle name="Normal 97 4 4 3" xfId="13599"/>
    <cellStyle name="Normal 97 4 5" xfId="5081"/>
    <cellStyle name="Normal 97 4 5 2" xfId="14122"/>
    <cellStyle name="Normal 97 4 6" xfId="9609"/>
    <cellStyle name="Normal 97 5" xfId="704"/>
    <cellStyle name="Normal 97 5 2" xfId="1874"/>
    <cellStyle name="Normal 97 5 2 2" xfId="4562"/>
    <cellStyle name="Normal 97 5 2 2 2" xfId="9076"/>
    <cellStyle name="Normal 97 5 2 2 2 2" xfId="18117"/>
    <cellStyle name="Normal 97 5 2 2 3" xfId="13604"/>
    <cellStyle name="Normal 97 5 2 3" xfId="6397"/>
    <cellStyle name="Normal 97 5 2 3 2" xfId="15438"/>
    <cellStyle name="Normal 97 5 2 4" xfId="10925"/>
    <cellStyle name="Normal 97 5 3" xfId="4561"/>
    <cellStyle name="Normal 97 5 3 2" xfId="9075"/>
    <cellStyle name="Normal 97 5 3 2 2" xfId="18116"/>
    <cellStyle name="Normal 97 5 3 3" xfId="13603"/>
    <cellStyle name="Normal 97 5 4" xfId="5269"/>
    <cellStyle name="Normal 97 5 4 2" xfId="14310"/>
    <cellStyle name="Normal 97 5 5" xfId="9797"/>
    <cellStyle name="Normal 97 6" xfId="1310"/>
    <cellStyle name="Normal 97 6 2" xfId="4563"/>
    <cellStyle name="Normal 97 6 2 2" xfId="9077"/>
    <cellStyle name="Normal 97 6 2 2 2" xfId="18118"/>
    <cellStyle name="Normal 97 6 2 3" xfId="13605"/>
    <cellStyle name="Normal 97 6 3" xfId="5833"/>
    <cellStyle name="Normal 97 6 3 2" xfId="14874"/>
    <cellStyle name="Normal 97 6 4" xfId="10361"/>
    <cellStyle name="Normal 97 7" xfId="4540"/>
    <cellStyle name="Normal 97 7 2" xfId="9054"/>
    <cellStyle name="Normal 97 7 2 2" xfId="18095"/>
    <cellStyle name="Normal 97 7 3" xfId="13582"/>
    <cellStyle name="Normal 97 8" xfId="4705"/>
    <cellStyle name="Normal 97 8 2" xfId="13746"/>
    <cellStyle name="Normal 97 9" xfId="9233"/>
    <cellStyle name="Normal 98" xfId="98"/>
    <cellStyle name="Normal 98 2" xfId="194"/>
    <cellStyle name="Normal 98 2 2" xfId="423"/>
    <cellStyle name="Normal 98 2 2 2" xfId="987"/>
    <cellStyle name="Normal 98 2 2 2 2" xfId="2157"/>
    <cellStyle name="Normal 98 2 2 2 2 2" xfId="4568"/>
    <cellStyle name="Normal 98 2 2 2 2 2 2" xfId="9082"/>
    <cellStyle name="Normal 98 2 2 2 2 2 2 2" xfId="18123"/>
    <cellStyle name="Normal 98 2 2 2 2 2 3" xfId="13610"/>
    <cellStyle name="Normal 98 2 2 2 2 3" xfId="6680"/>
    <cellStyle name="Normal 98 2 2 2 2 3 2" xfId="15721"/>
    <cellStyle name="Normal 98 2 2 2 2 4" xfId="11208"/>
    <cellStyle name="Normal 98 2 2 2 3" xfId="4567"/>
    <cellStyle name="Normal 98 2 2 2 3 2" xfId="9081"/>
    <cellStyle name="Normal 98 2 2 2 3 2 2" xfId="18122"/>
    <cellStyle name="Normal 98 2 2 2 3 3" xfId="13609"/>
    <cellStyle name="Normal 98 2 2 2 4" xfId="5552"/>
    <cellStyle name="Normal 98 2 2 2 4 2" xfId="14593"/>
    <cellStyle name="Normal 98 2 2 2 5" xfId="10080"/>
    <cellStyle name="Normal 98 2 2 3" xfId="1593"/>
    <cellStyle name="Normal 98 2 2 3 2" xfId="4569"/>
    <cellStyle name="Normal 98 2 2 3 2 2" xfId="9083"/>
    <cellStyle name="Normal 98 2 2 3 2 2 2" xfId="18124"/>
    <cellStyle name="Normal 98 2 2 3 2 3" xfId="13611"/>
    <cellStyle name="Normal 98 2 2 3 3" xfId="6116"/>
    <cellStyle name="Normal 98 2 2 3 3 2" xfId="15157"/>
    <cellStyle name="Normal 98 2 2 3 4" xfId="10644"/>
    <cellStyle name="Normal 98 2 2 4" xfId="4566"/>
    <cellStyle name="Normal 98 2 2 4 2" xfId="9080"/>
    <cellStyle name="Normal 98 2 2 4 2 2" xfId="18121"/>
    <cellStyle name="Normal 98 2 2 4 3" xfId="13608"/>
    <cellStyle name="Normal 98 2 2 5" xfId="4988"/>
    <cellStyle name="Normal 98 2 2 5 2" xfId="14029"/>
    <cellStyle name="Normal 98 2 2 6" xfId="9516"/>
    <cellStyle name="Normal 98 2 3" xfId="611"/>
    <cellStyle name="Normal 98 2 3 2" xfId="1175"/>
    <cellStyle name="Normal 98 2 3 2 2" xfId="2345"/>
    <cellStyle name="Normal 98 2 3 2 2 2" xfId="4572"/>
    <cellStyle name="Normal 98 2 3 2 2 2 2" xfId="9086"/>
    <cellStyle name="Normal 98 2 3 2 2 2 2 2" xfId="18127"/>
    <cellStyle name="Normal 98 2 3 2 2 2 3" xfId="13614"/>
    <cellStyle name="Normal 98 2 3 2 2 3" xfId="6868"/>
    <cellStyle name="Normal 98 2 3 2 2 3 2" xfId="15909"/>
    <cellStyle name="Normal 98 2 3 2 2 4" xfId="11396"/>
    <cellStyle name="Normal 98 2 3 2 3" xfId="4571"/>
    <cellStyle name="Normal 98 2 3 2 3 2" xfId="9085"/>
    <cellStyle name="Normal 98 2 3 2 3 2 2" xfId="18126"/>
    <cellStyle name="Normal 98 2 3 2 3 3" xfId="13613"/>
    <cellStyle name="Normal 98 2 3 2 4" xfId="5740"/>
    <cellStyle name="Normal 98 2 3 2 4 2" xfId="14781"/>
    <cellStyle name="Normal 98 2 3 2 5" xfId="10268"/>
    <cellStyle name="Normal 98 2 3 3" xfId="1781"/>
    <cellStyle name="Normal 98 2 3 3 2" xfId="4573"/>
    <cellStyle name="Normal 98 2 3 3 2 2" xfId="9087"/>
    <cellStyle name="Normal 98 2 3 3 2 2 2" xfId="18128"/>
    <cellStyle name="Normal 98 2 3 3 2 3" xfId="13615"/>
    <cellStyle name="Normal 98 2 3 3 3" xfId="6304"/>
    <cellStyle name="Normal 98 2 3 3 3 2" xfId="15345"/>
    <cellStyle name="Normal 98 2 3 3 4" xfId="10832"/>
    <cellStyle name="Normal 98 2 3 4" xfId="4570"/>
    <cellStyle name="Normal 98 2 3 4 2" xfId="9084"/>
    <cellStyle name="Normal 98 2 3 4 2 2" xfId="18125"/>
    <cellStyle name="Normal 98 2 3 4 3" xfId="13612"/>
    <cellStyle name="Normal 98 2 3 5" xfId="5176"/>
    <cellStyle name="Normal 98 2 3 5 2" xfId="14217"/>
    <cellStyle name="Normal 98 2 3 6" xfId="9704"/>
    <cellStyle name="Normal 98 2 4" xfId="799"/>
    <cellStyle name="Normal 98 2 4 2" xfId="1969"/>
    <cellStyle name="Normal 98 2 4 2 2" xfId="4575"/>
    <cellStyle name="Normal 98 2 4 2 2 2" xfId="9089"/>
    <cellStyle name="Normal 98 2 4 2 2 2 2" xfId="18130"/>
    <cellStyle name="Normal 98 2 4 2 2 3" xfId="13617"/>
    <cellStyle name="Normal 98 2 4 2 3" xfId="6492"/>
    <cellStyle name="Normal 98 2 4 2 3 2" xfId="15533"/>
    <cellStyle name="Normal 98 2 4 2 4" xfId="11020"/>
    <cellStyle name="Normal 98 2 4 3" xfId="4574"/>
    <cellStyle name="Normal 98 2 4 3 2" xfId="9088"/>
    <cellStyle name="Normal 98 2 4 3 2 2" xfId="18129"/>
    <cellStyle name="Normal 98 2 4 3 3" xfId="13616"/>
    <cellStyle name="Normal 98 2 4 4" xfId="5364"/>
    <cellStyle name="Normal 98 2 4 4 2" xfId="14405"/>
    <cellStyle name="Normal 98 2 4 5" xfId="9892"/>
    <cellStyle name="Normal 98 2 5" xfId="1405"/>
    <cellStyle name="Normal 98 2 5 2" xfId="4576"/>
    <cellStyle name="Normal 98 2 5 2 2" xfId="9090"/>
    <cellStyle name="Normal 98 2 5 2 2 2" xfId="18131"/>
    <cellStyle name="Normal 98 2 5 2 3" xfId="13618"/>
    <cellStyle name="Normal 98 2 5 3" xfId="5928"/>
    <cellStyle name="Normal 98 2 5 3 2" xfId="14969"/>
    <cellStyle name="Normal 98 2 5 4" xfId="10456"/>
    <cellStyle name="Normal 98 2 6" xfId="4565"/>
    <cellStyle name="Normal 98 2 6 2" xfId="9079"/>
    <cellStyle name="Normal 98 2 6 2 2" xfId="18120"/>
    <cellStyle name="Normal 98 2 6 3" xfId="13607"/>
    <cellStyle name="Normal 98 2 7" xfId="4800"/>
    <cellStyle name="Normal 98 2 7 2" xfId="13841"/>
    <cellStyle name="Normal 98 2 8" xfId="9328"/>
    <cellStyle name="Normal 98 3" xfId="329"/>
    <cellStyle name="Normal 98 3 2" xfId="893"/>
    <cellStyle name="Normal 98 3 2 2" xfId="2063"/>
    <cellStyle name="Normal 98 3 2 2 2" xfId="4579"/>
    <cellStyle name="Normal 98 3 2 2 2 2" xfId="9093"/>
    <cellStyle name="Normal 98 3 2 2 2 2 2" xfId="18134"/>
    <cellStyle name="Normal 98 3 2 2 2 3" xfId="13621"/>
    <cellStyle name="Normal 98 3 2 2 3" xfId="6586"/>
    <cellStyle name="Normal 98 3 2 2 3 2" xfId="15627"/>
    <cellStyle name="Normal 98 3 2 2 4" xfId="11114"/>
    <cellStyle name="Normal 98 3 2 3" xfId="4578"/>
    <cellStyle name="Normal 98 3 2 3 2" xfId="9092"/>
    <cellStyle name="Normal 98 3 2 3 2 2" xfId="18133"/>
    <cellStyle name="Normal 98 3 2 3 3" xfId="13620"/>
    <cellStyle name="Normal 98 3 2 4" xfId="5458"/>
    <cellStyle name="Normal 98 3 2 4 2" xfId="14499"/>
    <cellStyle name="Normal 98 3 2 5" xfId="9986"/>
    <cellStyle name="Normal 98 3 3" xfId="1499"/>
    <cellStyle name="Normal 98 3 3 2" xfId="4580"/>
    <cellStyle name="Normal 98 3 3 2 2" xfId="9094"/>
    <cellStyle name="Normal 98 3 3 2 2 2" xfId="18135"/>
    <cellStyle name="Normal 98 3 3 2 3" xfId="13622"/>
    <cellStyle name="Normal 98 3 3 3" xfId="6022"/>
    <cellStyle name="Normal 98 3 3 3 2" xfId="15063"/>
    <cellStyle name="Normal 98 3 3 4" xfId="10550"/>
    <cellStyle name="Normal 98 3 4" xfId="4577"/>
    <cellStyle name="Normal 98 3 4 2" xfId="9091"/>
    <cellStyle name="Normal 98 3 4 2 2" xfId="18132"/>
    <cellStyle name="Normal 98 3 4 3" xfId="13619"/>
    <cellStyle name="Normal 98 3 5" xfId="4894"/>
    <cellStyle name="Normal 98 3 5 2" xfId="13935"/>
    <cellStyle name="Normal 98 3 6" xfId="9422"/>
    <cellStyle name="Normal 98 4" xfId="517"/>
    <cellStyle name="Normal 98 4 2" xfId="1081"/>
    <cellStyle name="Normal 98 4 2 2" xfId="2251"/>
    <cellStyle name="Normal 98 4 2 2 2" xfId="4583"/>
    <cellStyle name="Normal 98 4 2 2 2 2" xfId="9097"/>
    <cellStyle name="Normal 98 4 2 2 2 2 2" xfId="18138"/>
    <cellStyle name="Normal 98 4 2 2 2 3" xfId="13625"/>
    <cellStyle name="Normal 98 4 2 2 3" xfId="6774"/>
    <cellStyle name="Normal 98 4 2 2 3 2" xfId="15815"/>
    <cellStyle name="Normal 98 4 2 2 4" xfId="11302"/>
    <cellStyle name="Normal 98 4 2 3" xfId="4582"/>
    <cellStyle name="Normal 98 4 2 3 2" xfId="9096"/>
    <cellStyle name="Normal 98 4 2 3 2 2" xfId="18137"/>
    <cellStyle name="Normal 98 4 2 3 3" xfId="13624"/>
    <cellStyle name="Normal 98 4 2 4" xfId="5646"/>
    <cellStyle name="Normal 98 4 2 4 2" xfId="14687"/>
    <cellStyle name="Normal 98 4 2 5" xfId="10174"/>
    <cellStyle name="Normal 98 4 3" xfId="1687"/>
    <cellStyle name="Normal 98 4 3 2" xfId="4584"/>
    <cellStyle name="Normal 98 4 3 2 2" xfId="9098"/>
    <cellStyle name="Normal 98 4 3 2 2 2" xfId="18139"/>
    <cellStyle name="Normal 98 4 3 2 3" xfId="13626"/>
    <cellStyle name="Normal 98 4 3 3" xfId="6210"/>
    <cellStyle name="Normal 98 4 3 3 2" xfId="15251"/>
    <cellStyle name="Normal 98 4 3 4" xfId="10738"/>
    <cellStyle name="Normal 98 4 4" xfId="4581"/>
    <cellStyle name="Normal 98 4 4 2" xfId="9095"/>
    <cellStyle name="Normal 98 4 4 2 2" xfId="18136"/>
    <cellStyle name="Normal 98 4 4 3" xfId="13623"/>
    <cellStyle name="Normal 98 4 5" xfId="5082"/>
    <cellStyle name="Normal 98 4 5 2" xfId="14123"/>
    <cellStyle name="Normal 98 4 6" xfId="9610"/>
    <cellStyle name="Normal 98 5" xfId="705"/>
    <cellStyle name="Normal 98 5 2" xfId="1875"/>
    <cellStyle name="Normal 98 5 2 2" xfId="4586"/>
    <cellStyle name="Normal 98 5 2 2 2" xfId="9100"/>
    <cellStyle name="Normal 98 5 2 2 2 2" xfId="18141"/>
    <cellStyle name="Normal 98 5 2 2 3" xfId="13628"/>
    <cellStyle name="Normal 98 5 2 3" xfId="6398"/>
    <cellStyle name="Normal 98 5 2 3 2" xfId="15439"/>
    <cellStyle name="Normal 98 5 2 4" xfId="10926"/>
    <cellStyle name="Normal 98 5 3" xfId="4585"/>
    <cellStyle name="Normal 98 5 3 2" xfId="9099"/>
    <cellStyle name="Normal 98 5 3 2 2" xfId="18140"/>
    <cellStyle name="Normal 98 5 3 3" xfId="13627"/>
    <cellStyle name="Normal 98 5 4" xfId="5270"/>
    <cellStyle name="Normal 98 5 4 2" xfId="14311"/>
    <cellStyle name="Normal 98 5 5" xfId="9798"/>
    <cellStyle name="Normal 98 6" xfId="1311"/>
    <cellStyle name="Normal 98 6 2" xfId="4587"/>
    <cellStyle name="Normal 98 6 2 2" xfId="9101"/>
    <cellStyle name="Normal 98 6 2 2 2" xfId="18142"/>
    <cellStyle name="Normal 98 6 2 3" xfId="13629"/>
    <cellStyle name="Normal 98 6 3" xfId="5834"/>
    <cellStyle name="Normal 98 6 3 2" xfId="14875"/>
    <cellStyle name="Normal 98 6 4" xfId="10362"/>
    <cellStyle name="Normal 98 7" xfId="4564"/>
    <cellStyle name="Normal 98 7 2" xfId="9078"/>
    <cellStyle name="Normal 98 7 2 2" xfId="18119"/>
    <cellStyle name="Normal 98 7 3" xfId="13606"/>
    <cellStyle name="Normal 98 8" xfId="4706"/>
    <cellStyle name="Normal 98 8 2" xfId="13747"/>
    <cellStyle name="Normal 98 9" xfId="9234"/>
    <cellStyle name="Normal 99" xfId="99"/>
    <cellStyle name="Normal 99 2" xfId="195"/>
    <cellStyle name="Normal 99 2 2" xfId="424"/>
    <cellStyle name="Normal 99 2 2 2" xfId="988"/>
    <cellStyle name="Normal 99 2 2 2 2" xfId="2158"/>
    <cellStyle name="Normal 99 2 2 2 2 2" xfId="4592"/>
    <cellStyle name="Normal 99 2 2 2 2 2 2" xfId="9106"/>
    <cellStyle name="Normal 99 2 2 2 2 2 2 2" xfId="18147"/>
    <cellStyle name="Normal 99 2 2 2 2 2 3" xfId="13634"/>
    <cellStyle name="Normal 99 2 2 2 2 3" xfId="6681"/>
    <cellStyle name="Normal 99 2 2 2 2 3 2" xfId="15722"/>
    <cellStyle name="Normal 99 2 2 2 2 4" xfId="11209"/>
    <cellStyle name="Normal 99 2 2 2 3" xfId="4591"/>
    <cellStyle name="Normal 99 2 2 2 3 2" xfId="9105"/>
    <cellStyle name="Normal 99 2 2 2 3 2 2" xfId="18146"/>
    <cellStyle name="Normal 99 2 2 2 3 3" xfId="13633"/>
    <cellStyle name="Normal 99 2 2 2 4" xfId="5553"/>
    <cellStyle name="Normal 99 2 2 2 4 2" xfId="14594"/>
    <cellStyle name="Normal 99 2 2 2 5" xfId="10081"/>
    <cellStyle name="Normal 99 2 2 3" xfId="1594"/>
    <cellStyle name="Normal 99 2 2 3 2" xfId="4593"/>
    <cellStyle name="Normal 99 2 2 3 2 2" xfId="9107"/>
    <cellStyle name="Normal 99 2 2 3 2 2 2" xfId="18148"/>
    <cellStyle name="Normal 99 2 2 3 2 3" xfId="13635"/>
    <cellStyle name="Normal 99 2 2 3 3" xfId="6117"/>
    <cellStyle name="Normal 99 2 2 3 3 2" xfId="15158"/>
    <cellStyle name="Normal 99 2 2 3 4" xfId="10645"/>
    <cellStyle name="Normal 99 2 2 4" xfId="4590"/>
    <cellStyle name="Normal 99 2 2 4 2" xfId="9104"/>
    <cellStyle name="Normal 99 2 2 4 2 2" xfId="18145"/>
    <cellStyle name="Normal 99 2 2 4 3" xfId="13632"/>
    <cellStyle name="Normal 99 2 2 5" xfId="4989"/>
    <cellStyle name="Normal 99 2 2 5 2" xfId="14030"/>
    <cellStyle name="Normal 99 2 2 6" xfId="9517"/>
    <cellStyle name="Normal 99 2 3" xfId="612"/>
    <cellStyle name="Normal 99 2 3 2" xfId="1176"/>
    <cellStyle name="Normal 99 2 3 2 2" xfId="2346"/>
    <cellStyle name="Normal 99 2 3 2 2 2" xfId="4596"/>
    <cellStyle name="Normal 99 2 3 2 2 2 2" xfId="9110"/>
    <cellStyle name="Normal 99 2 3 2 2 2 2 2" xfId="18151"/>
    <cellStyle name="Normal 99 2 3 2 2 2 3" xfId="13638"/>
    <cellStyle name="Normal 99 2 3 2 2 3" xfId="6869"/>
    <cellStyle name="Normal 99 2 3 2 2 3 2" xfId="15910"/>
    <cellStyle name="Normal 99 2 3 2 2 4" xfId="11397"/>
    <cellStyle name="Normal 99 2 3 2 3" xfId="4595"/>
    <cellStyle name="Normal 99 2 3 2 3 2" xfId="9109"/>
    <cellStyle name="Normal 99 2 3 2 3 2 2" xfId="18150"/>
    <cellStyle name="Normal 99 2 3 2 3 3" xfId="13637"/>
    <cellStyle name="Normal 99 2 3 2 4" xfId="5741"/>
    <cellStyle name="Normal 99 2 3 2 4 2" xfId="14782"/>
    <cellStyle name="Normal 99 2 3 2 5" xfId="10269"/>
    <cellStyle name="Normal 99 2 3 3" xfId="1782"/>
    <cellStyle name="Normal 99 2 3 3 2" xfId="4597"/>
    <cellStyle name="Normal 99 2 3 3 2 2" xfId="9111"/>
    <cellStyle name="Normal 99 2 3 3 2 2 2" xfId="18152"/>
    <cellStyle name="Normal 99 2 3 3 2 3" xfId="13639"/>
    <cellStyle name="Normal 99 2 3 3 3" xfId="6305"/>
    <cellStyle name="Normal 99 2 3 3 3 2" xfId="15346"/>
    <cellStyle name="Normal 99 2 3 3 4" xfId="10833"/>
    <cellStyle name="Normal 99 2 3 4" xfId="4594"/>
    <cellStyle name="Normal 99 2 3 4 2" xfId="9108"/>
    <cellStyle name="Normal 99 2 3 4 2 2" xfId="18149"/>
    <cellStyle name="Normal 99 2 3 4 3" xfId="13636"/>
    <cellStyle name="Normal 99 2 3 5" xfId="5177"/>
    <cellStyle name="Normal 99 2 3 5 2" xfId="14218"/>
    <cellStyle name="Normal 99 2 3 6" xfId="9705"/>
    <cellStyle name="Normal 99 2 4" xfId="800"/>
    <cellStyle name="Normal 99 2 4 2" xfId="1970"/>
    <cellStyle name="Normal 99 2 4 2 2" xfId="4599"/>
    <cellStyle name="Normal 99 2 4 2 2 2" xfId="9113"/>
    <cellStyle name="Normal 99 2 4 2 2 2 2" xfId="18154"/>
    <cellStyle name="Normal 99 2 4 2 2 3" xfId="13641"/>
    <cellStyle name="Normal 99 2 4 2 3" xfId="6493"/>
    <cellStyle name="Normal 99 2 4 2 3 2" xfId="15534"/>
    <cellStyle name="Normal 99 2 4 2 4" xfId="11021"/>
    <cellStyle name="Normal 99 2 4 3" xfId="4598"/>
    <cellStyle name="Normal 99 2 4 3 2" xfId="9112"/>
    <cellStyle name="Normal 99 2 4 3 2 2" xfId="18153"/>
    <cellStyle name="Normal 99 2 4 3 3" xfId="13640"/>
    <cellStyle name="Normal 99 2 4 4" xfId="5365"/>
    <cellStyle name="Normal 99 2 4 4 2" xfId="14406"/>
    <cellStyle name="Normal 99 2 4 5" xfId="9893"/>
    <cellStyle name="Normal 99 2 5" xfId="1406"/>
    <cellStyle name="Normal 99 2 5 2" xfId="4600"/>
    <cellStyle name="Normal 99 2 5 2 2" xfId="9114"/>
    <cellStyle name="Normal 99 2 5 2 2 2" xfId="18155"/>
    <cellStyle name="Normal 99 2 5 2 3" xfId="13642"/>
    <cellStyle name="Normal 99 2 5 3" xfId="5929"/>
    <cellStyle name="Normal 99 2 5 3 2" xfId="14970"/>
    <cellStyle name="Normal 99 2 5 4" xfId="10457"/>
    <cellStyle name="Normal 99 2 6" xfId="4589"/>
    <cellStyle name="Normal 99 2 6 2" xfId="9103"/>
    <cellStyle name="Normal 99 2 6 2 2" xfId="18144"/>
    <cellStyle name="Normal 99 2 6 3" xfId="13631"/>
    <cellStyle name="Normal 99 2 7" xfId="4801"/>
    <cellStyle name="Normal 99 2 7 2" xfId="13842"/>
    <cellStyle name="Normal 99 2 8" xfId="9329"/>
    <cellStyle name="Normal 99 3" xfId="330"/>
    <cellStyle name="Normal 99 3 2" xfId="894"/>
    <cellStyle name="Normal 99 3 2 2" xfId="2064"/>
    <cellStyle name="Normal 99 3 2 2 2" xfId="4603"/>
    <cellStyle name="Normal 99 3 2 2 2 2" xfId="9117"/>
    <cellStyle name="Normal 99 3 2 2 2 2 2" xfId="18158"/>
    <cellStyle name="Normal 99 3 2 2 2 3" xfId="13645"/>
    <cellStyle name="Normal 99 3 2 2 3" xfId="6587"/>
    <cellStyle name="Normal 99 3 2 2 3 2" xfId="15628"/>
    <cellStyle name="Normal 99 3 2 2 4" xfId="11115"/>
    <cellStyle name="Normal 99 3 2 3" xfId="4602"/>
    <cellStyle name="Normal 99 3 2 3 2" xfId="9116"/>
    <cellStyle name="Normal 99 3 2 3 2 2" xfId="18157"/>
    <cellStyle name="Normal 99 3 2 3 3" xfId="13644"/>
    <cellStyle name="Normal 99 3 2 4" xfId="5459"/>
    <cellStyle name="Normal 99 3 2 4 2" xfId="14500"/>
    <cellStyle name="Normal 99 3 2 5" xfId="9987"/>
    <cellStyle name="Normal 99 3 3" xfId="1500"/>
    <cellStyle name="Normal 99 3 3 2" xfId="4604"/>
    <cellStyle name="Normal 99 3 3 2 2" xfId="9118"/>
    <cellStyle name="Normal 99 3 3 2 2 2" xfId="18159"/>
    <cellStyle name="Normal 99 3 3 2 3" xfId="13646"/>
    <cellStyle name="Normal 99 3 3 3" xfId="6023"/>
    <cellStyle name="Normal 99 3 3 3 2" xfId="15064"/>
    <cellStyle name="Normal 99 3 3 4" xfId="10551"/>
    <cellStyle name="Normal 99 3 4" xfId="4601"/>
    <cellStyle name="Normal 99 3 4 2" xfId="9115"/>
    <cellStyle name="Normal 99 3 4 2 2" xfId="18156"/>
    <cellStyle name="Normal 99 3 4 3" xfId="13643"/>
    <cellStyle name="Normal 99 3 5" xfId="4895"/>
    <cellStyle name="Normal 99 3 5 2" xfId="13936"/>
    <cellStyle name="Normal 99 3 6" xfId="9423"/>
    <cellStyle name="Normal 99 4" xfId="518"/>
    <cellStyle name="Normal 99 4 2" xfId="1082"/>
    <cellStyle name="Normal 99 4 2 2" xfId="2252"/>
    <cellStyle name="Normal 99 4 2 2 2" xfId="4607"/>
    <cellStyle name="Normal 99 4 2 2 2 2" xfId="9121"/>
    <cellStyle name="Normal 99 4 2 2 2 2 2" xfId="18162"/>
    <cellStyle name="Normal 99 4 2 2 2 3" xfId="13649"/>
    <cellStyle name="Normal 99 4 2 2 3" xfId="6775"/>
    <cellStyle name="Normal 99 4 2 2 3 2" xfId="15816"/>
    <cellStyle name="Normal 99 4 2 2 4" xfId="11303"/>
    <cellStyle name="Normal 99 4 2 3" xfId="4606"/>
    <cellStyle name="Normal 99 4 2 3 2" xfId="9120"/>
    <cellStyle name="Normal 99 4 2 3 2 2" xfId="18161"/>
    <cellStyle name="Normal 99 4 2 3 3" xfId="13648"/>
    <cellStyle name="Normal 99 4 2 4" xfId="5647"/>
    <cellStyle name="Normal 99 4 2 4 2" xfId="14688"/>
    <cellStyle name="Normal 99 4 2 5" xfId="10175"/>
    <cellStyle name="Normal 99 4 3" xfId="1688"/>
    <cellStyle name="Normal 99 4 3 2" xfId="4608"/>
    <cellStyle name="Normal 99 4 3 2 2" xfId="9122"/>
    <cellStyle name="Normal 99 4 3 2 2 2" xfId="18163"/>
    <cellStyle name="Normal 99 4 3 2 3" xfId="13650"/>
    <cellStyle name="Normal 99 4 3 3" xfId="6211"/>
    <cellStyle name="Normal 99 4 3 3 2" xfId="15252"/>
    <cellStyle name="Normal 99 4 3 4" xfId="10739"/>
    <cellStyle name="Normal 99 4 4" xfId="4605"/>
    <cellStyle name="Normal 99 4 4 2" xfId="9119"/>
    <cellStyle name="Normal 99 4 4 2 2" xfId="18160"/>
    <cellStyle name="Normal 99 4 4 3" xfId="13647"/>
    <cellStyle name="Normal 99 4 5" xfId="5083"/>
    <cellStyle name="Normal 99 4 5 2" xfId="14124"/>
    <cellStyle name="Normal 99 4 6" xfId="9611"/>
    <cellStyle name="Normal 99 5" xfId="706"/>
    <cellStyle name="Normal 99 5 2" xfId="1876"/>
    <cellStyle name="Normal 99 5 2 2" xfId="4610"/>
    <cellStyle name="Normal 99 5 2 2 2" xfId="9124"/>
    <cellStyle name="Normal 99 5 2 2 2 2" xfId="18165"/>
    <cellStyle name="Normal 99 5 2 2 3" xfId="13652"/>
    <cellStyle name="Normal 99 5 2 3" xfId="6399"/>
    <cellStyle name="Normal 99 5 2 3 2" xfId="15440"/>
    <cellStyle name="Normal 99 5 2 4" xfId="10927"/>
    <cellStyle name="Normal 99 5 3" xfId="4609"/>
    <cellStyle name="Normal 99 5 3 2" xfId="9123"/>
    <cellStyle name="Normal 99 5 3 2 2" xfId="18164"/>
    <cellStyle name="Normal 99 5 3 3" xfId="13651"/>
    <cellStyle name="Normal 99 5 4" xfId="5271"/>
    <cellStyle name="Normal 99 5 4 2" xfId="14312"/>
    <cellStyle name="Normal 99 5 5" xfId="9799"/>
    <cellStyle name="Normal 99 6" xfId="1312"/>
    <cellStyle name="Normal 99 6 2" xfId="4611"/>
    <cellStyle name="Normal 99 6 2 2" xfId="9125"/>
    <cellStyle name="Normal 99 6 2 2 2" xfId="18166"/>
    <cellStyle name="Normal 99 6 2 3" xfId="13653"/>
    <cellStyle name="Normal 99 6 3" xfId="5835"/>
    <cellStyle name="Normal 99 6 3 2" xfId="14876"/>
    <cellStyle name="Normal 99 6 4" xfId="10363"/>
    <cellStyle name="Normal 99 7" xfId="4588"/>
    <cellStyle name="Normal 99 7 2" xfId="9102"/>
    <cellStyle name="Normal 99 7 2 2" xfId="18143"/>
    <cellStyle name="Normal 99 7 3" xfId="13630"/>
    <cellStyle name="Normal 99 8" xfId="4707"/>
    <cellStyle name="Normal 99 8 2" xfId="13748"/>
    <cellStyle name="Normal 99 9" xfId="9235"/>
    <cellStyle name="Normal_EAN comprehensive list for Light My Fire" xfId="1"/>
    <cellStyle name="Note 2" xfId="1213"/>
    <cellStyle name="Output 2" xfId="1214"/>
    <cellStyle name="Percent 2" xfId="4612"/>
    <cellStyle name="Procent 2" xfId="9134"/>
    <cellStyle name="Procent 2 2" xfId="18172"/>
    <cellStyle name="Rubrik" xfId="229"/>
    <cellStyle name="Rubrik 1" xfId="230"/>
    <cellStyle name="Rubrik 2" xfId="231"/>
    <cellStyle name="Rubrik 3" xfId="232"/>
    <cellStyle name="Rubrik 4" xfId="233"/>
    <cellStyle name="Summa" xfId="234"/>
    <cellStyle name="Title 2" xfId="1215"/>
    <cellStyle name="Total 2" xfId="1216"/>
    <cellStyle name="Utdata" xfId="235"/>
    <cellStyle name="Varningstext" xfId="236"/>
    <cellStyle name="Warning Text 2" xfId="1217"/>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53976</xdr:colOff>
      <xdr:row>0</xdr:row>
      <xdr:rowOff>42333</xdr:rowOff>
    </xdr:from>
    <xdr:to>
      <xdr:col>2</xdr:col>
      <xdr:colOff>8427</xdr:colOff>
      <xdr:row>0</xdr:row>
      <xdr:rowOff>682413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76" y="42333"/>
          <a:ext cx="1326051" cy="640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2</xdr:col>
      <xdr:colOff>552720</xdr:colOff>
      <xdr:row>0</xdr:row>
      <xdr:rowOff>687705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47625"/>
          <a:ext cx="2000520" cy="6400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112567</xdr:colOff>
      <xdr:row>0</xdr:row>
      <xdr:rowOff>95249</xdr:rowOff>
    </xdr:from>
    <xdr:to>
      <xdr:col>4</xdr:col>
      <xdr:colOff>802315</xdr:colOff>
      <xdr:row>0</xdr:row>
      <xdr:rowOff>598169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567" y="95249"/>
          <a:ext cx="4043214" cy="5029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76201</xdr:colOff>
      <xdr:row>0</xdr:row>
      <xdr:rowOff>76200</xdr:rowOff>
    </xdr:from>
    <xdr:to>
      <xdr:col>2</xdr:col>
      <xdr:colOff>151274</xdr:colOff>
      <xdr:row>0</xdr:row>
      <xdr:rowOff>716280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76200"/>
          <a:ext cx="1008523" cy="640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22</xdr:col>
      <xdr:colOff>0</xdr:colOff>
      <xdr:row>17</xdr:row>
      <xdr:rowOff>0</xdr:rowOff>
    </xdr:from>
    <xdr:ext cx="9525" cy="38100"/>
    <xdr:pic>
      <xdr:nvPicPr>
        <xdr:cNvPr id="2" name="Picture 104" descr="spacer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3" name="Picture 170" descr="spacer0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4" name="Picture 171" descr="spacer01">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5" name="Picture 172" descr="spacer01">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6" name="Picture 173" descr="spacer01">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7" name="Picture 174" descr="spacer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8" name="Picture 175" descr="spacer01">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9" name="Picture 176" descr="spacer01">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10" name="Picture 177" descr="spacer01">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11" name="Picture 178" descr="spacer01">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12" name="Picture 179" descr="spacer01">
          <a:extLst>
            <a:ext uri="{FF2B5EF4-FFF2-40B4-BE49-F238E27FC236}">
              <a16:creationId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13" name="Picture 180" descr="spacer01">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14" name="Picture 181" descr="spacer01">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15" name="Picture 182" descr="spacer01">
          <a:extLst>
            <a:ext uri="{FF2B5EF4-FFF2-40B4-BE49-F238E27FC236}">
              <a16:creationId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16" name="Picture 183" descr="spacer01">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17" name="Picture 184" descr="spacer01">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18" name="Picture 185" descr="spacer01">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19" name="Picture 186" descr="spacer01">
          <a:extLst>
            <a:ext uri="{FF2B5EF4-FFF2-40B4-BE49-F238E27FC236}">
              <a16:creationId xmlns:a16="http://schemas.microsoft.com/office/drawing/2014/main" id="{00000000-0008-0000-06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20" name="Picture 187" descr="spacer01">
          <a:extLst>
            <a:ext uri="{FF2B5EF4-FFF2-40B4-BE49-F238E27FC236}">
              <a16:creationId xmlns:a16="http://schemas.microsoft.com/office/drawing/2014/main" id="{00000000-0008-0000-06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21" name="Picture 188" descr="spacer01">
          <a:extLst>
            <a:ext uri="{FF2B5EF4-FFF2-40B4-BE49-F238E27FC236}">
              <a16:creationId xmlns:a16="http://schemas.microsoft.com/office/drawing/2014/main" id="{00000000-0008-0000-06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22" name="Picture 189" descr="spacer01">
          <a:extLst>
            <a:ext uri="{FF2B5EF4-FFF2-40B4-BE49-F238E27FC236}">
              <a16:creationId xmlns:a16="http://schemas.microsoft.com/office/drawing/2014/main" id="{00000000-0008-0000-06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23" name="Picture 190" descr="spacer01">
          <a:extLst>
            <a:ext uri="{FF2B5EF4-FFF2-40B4-BE49-F238E27FC236}">
              <a16:creationId xmlns:a16="http://schemas.microsoft.com/office/drawing/2014/main" id="{00000000-0008-0000-06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24" name="Picture 191" descr="spacer01">
          <a:extLst>
            <a:ext uri="{FF2B5EF4-FFF2-40B4-BE49-F238E27FC236}">
              <a16:creationId xmlns:a16="http://schemas.microsoft.com/office/drawing/2014/main" id="{00000000-0008-0000-06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25" name="Picture 192" descr="spacer01">
          <a:extLst>
            <a:ext uri="{FF2B5EF4-FFF2-40B4-BE49-F238E27FC236}">
              <a16:creationId xmlns:a16="http://schemas.microsoft.com/office/drawing/2014/main" id="{00000000-0008-0000-06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26" name="Picture 193" descr="spacer01">
          <a:extLst>
            <a:ext uri="{FF2B5EF4-FFF2-40B4-BE49-F238E27FC236}">
              <a16:creationId xmlns:a16="http://schemas.microsoft.com/office/drawing/2014/main" id="{00000000-0008-0000-06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27" name="Picture 194" descr="spacer01">
          <a:extLst>
            <a:ext uri="{FF2B5EF4-FFF2-40B4-BE49-F238E27FC236}">
              <a16:creationId xmlns:a16="http://schemas.microsoft.com/office/drawing/2014/main" id="{00000000-0008-0000-06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28" name="Picture 195" descr="spacer01">
          <a:extLst>
            <a:ext uri="{FF2B5EF4-FFF2-40B4-BE49-F238E27FC236}">
              <a16:creationId xmlns:a16="http://schemas.microsoft.com/office/drawing/2014/main" id="{00000000-0008-0000-06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29" name="Picture 196" descr="spacer01">
          <a:extLst>
            <a:ext uri="{FF2B5EF4-FFF2-40B4-BE49-F238E27FC236}">
              <a16:creationId xmlns:a16="http://schemas.microsoft.com/office/drawing/2014/main" id="{00000000-0008-0000-06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30" name="Picture 197" descr="spacer01">
          <a:extLst>
            <a:ext uri="{FF2B5EF4-FFF2-40B4-BE49-F238E27FC236}">
              <a16:creationId xmlns:a16="http://schemas.microsoft.com/office/drawing/2014/main" id="{00000000-0008-0000-06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31" name="Picture 198" descr="spacer01">
          <a:extLst>
            <a:ext uri="{FF2B5EF4-FFF2-40B4-BE49-F238E27FC236}">
              <a16:creationId xmlns:a16="http://schemas.microsoft.com/office/drawing/2014/main" id="{00000000-0008-0000-06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32" name="Picture 199" descr="spacer01">
          <a:extLst>
            <a:ext uri="{FF2B5EF4-FFF2-40B4-BE49-F238E27FC236}">
              <a16:creationId xmlns:a16="http://schemas.microsoft.com/office/drawing/2014/main" id="{00000000-0008-0000-06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33" name="Picture 200" descr="spacer01">
          <a:extLst>
            <a:ext uri="{FF2B5EF4-FFF2-40B4-BE49-F238E27FC236}">
              <a16:creationId xmlns:a16="http://schemas.microsoft.com/office/drawing/2014/main" id="{00000000-0008-0000-06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34" name="Picture 201" descr="spacer01">
          <a:extLst>
            <a:ext uri="{FF2B5EF4-FFF2-40B4-BE49-F238E27FC236}">
              <a16:creationId xmlns:a16="http://schemas.microsoft.com/office/drawing/2014/main" id="{00000000-0008-0000-06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35" name="Picture 202" descr="spacer01">
          <a:extLst>
            <a:ext uri="{FF2B5EF4-FFF2-40B4-BE49-F238E27FC236}">
              <a16:creationId xmlns:a16="http://schemas.microsoft.com/office/drawing/2014/main" id="{00000000-0008-0000-06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36" name="Picture 203" descr="spacer01">
          <a:extLst>
            <a:ext uri="{FF2B5EF4-FFF2-40B4-BE49-F238E27FC236}">
              <a16:creationId xmlns:a16="http://schemas.microsoft.com/office/drawing/2014/main" id="{00000000-0008-0000-06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37" name="Picture 204" descr="spacer01">
          <a:extLst>
            <a:ext uri="{FF2B5EF4-FFF2-40B4-BE49-F238E27FC236}">
              <a16:creationId xmlns:a16="http://schemas.microsoft.com/office/drawing/2014/main" id="{00000000-0008-0000-06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38" name="Picture 205" descr="spacer01">
          <a:extLst>
            <a:ext uri="{FF2B5EF4-FFF2-40B4-BE49-F238E27FC236}">
              <a16:creationId xmlns:a16="http://schemas.microsoft.com/office/drawing/2014/main" id="{00000000-0008-0000-06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39" name="Picture 206" descr="spacer01">
          <a:extLst>
            <a:ext uri="{FF2B5EF4-FFF2-40B4-BE49-F238E27FC236}">
              <a16:creationId xmlns:a16="http://schemas.microsoft.com/office/drawing/2014/main" id="{00000000-0008-0000-06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40" name="Picture 207" descr="spacer01">
          <a:extLst>
            <a:ext uri="{FF2B5EF4-FFF2-40B4-BE49-F238E27FC236}">
              <a16:creationId xmlns:a16="http://schemas.microsoft.com/office/drawing/2014/main" id="{00000000-0008-0000-06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41" name="Picture 208" descr="spacer01">
          <a:extLst>
            <a:ext uri="{FF2B5EF4-FFF2-40B4-BE49-F238E27FC236}">
              <a16:creationId xmlns:a16="http://schemas.microsoft.com/office/drawing/2014/main" id="{00000000-0008-0000-06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6475" y="322897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66675</xdr:colOff>
      <xdr:row>0</xdr:row>
      <xdr:rowOff>171478</xdr:rowOff>
    </xdr:from>
    <xdr:to>
      <xdr:col>3</xdr:col>
      <xdr:colOff>85725</xdr:colOff>
      <xdr:row>0</xdr:row>
      <xdr:rowOff>584804</xdr:rowOff>
    </xdr:to>
    <xdr:pic>
      <xdr:nvPicPr>
        <xdr:cNvPr id="47" name="Picture 46">
          <a:extLst>
            <a:ext uri="{FF2B5EF4-FFF2-40B4-BE49-F238E27FC236}">
              <a16:creationId xmlns:a16="http://schemas.microsoft.com/office/drawing/2014/main" id="{00000000-0008-0000-0600-00002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171478"/>
          <a:ext cx="2743200" cy="413326"/>
        </a:xfrm>
        <a:prstGeom prst="rect">
          <a:avLst/>
        </a:prstGeom>
      </xdr:spPr>
    </xdr:pic>
    <xdr:clientData/>
  </xdr:twoCellAnchor>
  <xdr:oneCellAnchor>
    <xdr:from>
      <xdr:col>22</xdr:col>
      <xdr:colOff>0</xdr:colOff>
      <xdr:row>17</xdr:row>
      <xdr:rowOff>0</xdr:rowOff>
    </xdr:from>
    <xdr:ext cx="9525" cy="38100"/>
    <xdr:pic>
      <xdr:nvPicPr>
        <xdr:cNvPr id="43" name="Picture 104" descr="spacer01">
          <a:extLst>
            <a:ext uri="{FF2B5EF4-FFF2-40B4-BE49-F238E27FC236}">
              <a16:creationId xmlns:a16="http://schemas.microsoft.com/office/drawing/2014/main" id="{00000000-0008-0000-06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44" name="Picture 170" descr="spacer01">
          <a:extLst>
            <a:ext uri="{FF2B5EF4-FFF2-40B4-BE49-F238E27FC236}">
              <a16:creationId xmlns:a16="http://schemas.microsoft.com/office/drawing/2014/main" id="{00000000-0008-0000-06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45" name="Picture 171" descr="spacer01">
          <a:extLst>
            <a:ext uri="{FF2B5EF4-FFF2-40B4-BE49-F238E27FC236}">
              <a16:creationId xmlns:a16="http://schemas.microsoft.com/office/drawing/2014/main" id="{00000000-0008-0000-06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46" name="Picture 172" descr="spacer01">
          <a:extLst>
            <a:ext uri="{FF2B5EF4-FFF2-40B4-BE49-F238E27FC236}">
              <a16:creationId xmlns:a16="http://schemas.microsoft.com/office/drawing/2014/main" id="{00000000-0008-0000-06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48" name="Picture 173" descr="spacer01">
          <a:extLst>
            <a:ext uri="{FF2B5EF4-FFF2-40B4-BE49-F238E27FC236}">
              <a16:creationId xmlns:a16="http://schemas.microsoft.com/office/drawing/2014/main" id="{00000000-0008-0000-06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49" name="Picture 174" descr="spacer01">
          <a:extLst>
            <a:ext uri="{FF2B5EF4-FFF2-40B4-BE49-F238E27FC236}">
              <a16:creationId xmlns:a16="http://schemas.microsoft.com/office/drawing/2014/main" id="{00000000-0008-0000-06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50" name="Picture 175" descr="spacer01">
          <a:extLst>
            <a:ext uri="{FF2B5EF4-FFF2-40B4-BE49-F238E27FC236}">
              <a16:creationId xmlns:a16="http://schemas.microsoft.com/office/drawing/2014/main" id="{00000000-0008-0000-06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51" name="Picture 176" descr="spacer01">
          <a:extLst>
            <a:ext uri="{FF2B5EF4-FFF2-40B4-BE49-F238E27FC236}">
              <a16:creationId xmlns:a16="http://schemas.microsoft.com/office/drawing/2014/main" id="{00000000-0008-0000-06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52" name="Picture 177" descr="spacer01">
          <a:extLst>
            <a:ext uri="{FF2B5EF4-FFF2-40B4-BE49-F238E27FC236}">
              <a16:creationId xmlns:a16="http://schemas.microsoft.com/office/drawing/2014/main" id="{00000000-0008-0000-06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53" name="Picture 178" descr="spacer01">
          <a:extLst>
            <a:ext uri="{FF2B5EF4-FFF2-40B4-BE49-F238E27FC236}">
              <a16:creationId xmlns:a16="http://schemas.microsoft.com/office/drawing/2014/main" id="{00000000-0008-0000-06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54" name="Picture 179" descr="spacer01">
          <a:extLst>
            <a:ext uri="{FF2B5EF4-FFF2-40B4-BE49-F238E27FC236}">
              <a16:creationId xmlns:a16="http://schemas.microsoft.com/office/drawing/2014/main" id="{00000000-0008-0000-06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55" name="Picture 180" descr="spacer01">
          <a:extLst>
            <a:ext uri="{FF2B5EF4-FFF2-40B4-BE49-F238E27FC236}">
              <a16:creationId xmlns:a16="http://schemas.microsoft.com/office/drawing/2014/main" id="{00000000-0008-0000-06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56" name="Picture 181" descr="spacer01">
          <a:extLst>
            <a:ext uri="{FF2B5EF4-FFF2-40B4-BE49-F238E27FC236}">
              <a16:creationId xmlns:a16="http://schemas.microsoft.com/office/drawing/2014/main" id="{00000000-0008-0000-06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57" name="Picture 182" descr="spacer01">
          <a:extLst>
            <a:ext uri="{FF2B5EF4-FFF2-40B4-BE49-F238E27FC236}">
              <a16:creationId xmlns:a16="http://schemas.microsoft.com/office/drawing/2014/main" id="{00000000-0008-0000-06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58" name="Picture 183" descr="spacer01">
          <a:extLst>
            <a:ext uri="{FF2B5EF4-FFF2-40B4-BE49-F238E27FC236}">
              <a16:creationId xmlns:a16="http://schemas.microsoft.com/office/drawing/2014/main" id="{00000000-0008-0000-06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59" name="Picture 184" descr="spacer01">
          <a:extLst>
            <a:ext uri="{FF2B5EF4-FFF2-40B4-BE49-F238E27FC236}">
              <a16:creationId xmlns:a16="http://schemas.microsoft.com/office/drawing/2014/main" id="{00000000-0008-0000-06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60" name="Picture 185" descr="spacer01">
          <a:extLst>
            <a:ext uri="{FF2B5EF4-FFF2-40B4-BE49-F238E27FC236}">
              <a16:creationId xmlns:a16="http://schemas.microsoft.com/office/drawing/2014/main" id="{00000000-0008-0000-06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61" name="Picture 186" descr="spacer01">
          <a:extLst>
            <a:ext uri="{FF2B5EF4-FFF2-40B4-BE49-F238E27FC236}">
              <a16:creationId xmlns:a16="http://schemas.microsoft.com/office/drawing/2014/main" id="{00000000-0008-0000-06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62" name="Picture 187" descr="spacer01">
          <a:extLst>
            <a:ext uri="{FF2B5EF4-FFF2-40B4-BE49-F238E27FC236}">
              <a16:creationId xmlns:a16="http://schemas.microsoft.com/office/drawing/2014/main" id="{00000000-0008-0000-06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63" name="Picture 188" descr="spacer01">
          <a:extLst>
            <a:ext uri="{FF2B5EF4-FFF2-40B4-BE49-F238E27FC236}">
              <a16:creationId xmlns:a16="http://schemas.microsoft.com/office/drawing/2014/main" id="{00000000-0008-0000-06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64" name="Picture 189" descr="spacer01">
          <a:extLst>
            <a:ext uri="{FF2B5EF4-FFF2-40B4-BE49-F238E27FC236}">
              <a16:creationId xmlns:a16="http://schemas.microsoft.com/office/drawing/2014/main" id="{00000000-0008-0000-06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65" name="Picture 190" descr="spacer01">
          <a:extLst>
            <a:ext uri="{FF2B5EF4-FFF2-40B4-BE49-F238E27FC236}">
              <a16:creationId xmlns:a16="http://schemas.microsoft.com/office/drawing/2014/main" id="{00000000-0008-0000-06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66" name="Picture 191" descr="spacer01">
          <a:extLst>
            <a:ext uri="{FF2B5EF4-FFF2-40B4-BE49-F238E27FC236}">
              <a16:creationId xmlns:a16="http://schemas.microsoft.com/office/drawing/2014/main" id="{00000000-0008-0000-06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67" name="Picture 192" descr="spacer01">
          <a:extLst>
            <a:ext uri="{FF2B5EF4-FFF2-40B4-BE49-F238E27FC236}">
              <a16:creationId xmlns:a16="http://schemas.microsoft.com/office/drawing/2014/main" id="{00000000-0008-0000-06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68" name="Picture 193" descr="spacer01">
          <a:extLst>
            <a:ext uri="{FF2B5EF4-FFF2-40B4-BE49-F238E27FC236}">
              <a16:creationId xmlns:a16="http://schemas.microsoft.com/office/drawing/2014/main" id="{00000000-0008-0000-06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69" name="Picture 194" descr="spacer01">
          <a:extLst>
            <a:ext uri="{FF2B5EF4-FFF2-40B4-BE49-F238E27FC236}">
              <a16:creationId xmlns:a16="http://schemas.microsoft.com/office/drawing/2014/main" id="{00000000-0008-0000-06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70" name="Picture 195" descr="spacer01">
          <a:extLst>
            <a:ext uri="{FF2B5EF4-FFF2-40B4-BE49-F238E27FC236}">
              <a16:creationId xmlns:a16="http://schemas.microsoft.com/office/drawing/2014/main" id="{00000000-0008-0000-06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71" name="Picture 196" descr="spacer01">
          <a:extLst>
            <a:ext uri="{FF2B5EF4-FFF2-40B4-BE49-F238E27FC236}">
              <a16:creationId xmlns:a16="http://schemas.microsoft.com/office/drawing/2014/main" id="{00000000-0008-0000-06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72" name="Picture 197" descr="spacer01">
          <a:extLst>
            <a:ext uri="{FF2B5EF4-FFF2-40B4-BE49-F238E27FC236}">
              <a16:creationId xmlns:a16="http://schemas.microsoft.com/office/drawing/2014/main" id="{00000000-0008-0000-06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73" name="Picture 198" descr="spacer01">
          <a:extLst>
            <a:ext uri="{FF2B5EF4-FFF2-40B4-BE49-F238E27FC236}">
              <a16:creationId xmlns:a16="http://schemas.microsoft.com/office/drawing/2014/main" id="{00000000-0008-0000-06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74" name="Picture 199" descr="spacer01">
          <a:extLst>
            <a:ext uri="{FF2B5EF4-FFF2-40B4-BE49-F238E27FC236}">
              <a16:creationId xmlns:a16="http://schemas.microsoft.com/office/drawing/2014/main" id="{00000000-0008-0000-06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75" name="Picture 200" descr="spacer01">
          <a:extLst>
            <a:ext uri="{FF2B5EF4-FFF2-40B4-BE49-F238E27FC236}">
              <a16:creationId xmlns:a16="http://schemas.microsoft.com/office/drawing/2014/main" id="{00000000-0008-0000-06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76" name="Picture 201" descr="spacer01">
          <a:extLst>
            <a:ext uri="{FF2B5EF4-FFF2-40B4-BE49-F238E27FC236}">
              <a16:creationId xmlns:a16="http://schemas.microsoft.com/office/drawing/2014/main" id="{00000000-0008-0000-06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77" name="Picture 202" descr="spacer01">
          <a:extLst>
            <a:ext uri="{FF2B5EF4-FFF2-40B4-BE49-F238E27FC236}">
              <a16:creationId xmlns:a16="http://schemas.microsoft.com/office/drawing/2014/main" id="{00000000-0008-0000-06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78" name="Picture 203" descr="spacer01">
          <a:extLst>
            <a:ext uri="{FF2B5EF4-FFF2-40B4-BE49-F238E27FC236}">
              <a16:creationId xmlns:a16="http://schemas.microsoft.com/office/drawing/2014/main" id="{00000000-0008-0000-06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79" name="Picture 204" descr="spacer01">
          <a:extLst>
            <a:ext uri="{FF2B5EF4-FFF2-40B4-BE49-F238E27FC236}">
              <a16:creationId xmlns:a16="http://schemas.microsoft.com/office/drawing/2014/main" id="{00000000-0008-0000-06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80" name="Picture 205" descr="spacer01">
          <a:extLst>
            <a:ext uri="{FF2B5EF4-FFF2-40B4-BE49-F238E27FC236}">
              <a16:creationId xmlns:a16="http://schemas.microsoft.com/office/drawing/2014/main" id="{00000000-0008-0000-06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81" name="Picture 206" descr="spacer01">
          <a:extLst>
            <a:ext uri="{FF2B5EF4-FFF2-40B4-BE49-F238E27FC236}">
              <a16:creationId xmlns:a16="http://schemas.microsoft.com/office/drawing/2014/main" id="{00000000-0008-0000-06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82" name="Picture 207" descr="spacer01">
          <a:extLst>
            <a:ext uri="{FF2B5EF4-FFF2-40B4-BE49-F238E27FC236}">
              <a16:creationId xmlns:a16="http://schemas.microsoft.com/office/drawing/2014/main" id="{00000000-0008-0000-06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17</xdr:row>
      <xdr:rowOff>0</xdr:rowOff>
    </xdr:from>
    <xdr:ext cx="9525" cy="38100"/>
    <xdr:pic>
      <xdr:nvPicPr>
        <xdr:cNvPr id="83" name="Picture 208" descr="spacer01">
          <a:extLst>
            <a:ext uri="{FF2B5EF4-FFF2-40B4-BE49-F238E27FC236}">
              <a16:creationId xmlns:a16="http://schemas.microsoft.com/office/drawing/2014/main" id="{00000000-0008-0000-06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4276725"/>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D326"/>
  <sheetViews>
    <sheetView tabSelected="1" zoomScaleNormal="100" workbookViewId="0">
      <pane xSplit="6" ySplit="2" topLeftCell="G90" activePane="bottomRight" state="frozen"/>
      <selection pane="topRight" activeCell="G1" sqref="G1"/>
      <selection pane="bottomLeft" activeCell="A4" sqref="A4"/>
      <selection pane="bottomRight" activeCell="M1" sqref="M1:M1048576"/>
    </sheetView>
  </sheetViews>
  <sheetFormatPr defaultColWidth="9.33203125" defaultRowHeight="13.2" x14ac:dyDescent="0.25"/>
  <cols>
    <col min="1" max="1" width="10.44140625" style="22" customWidth="1"/>
    <col min="2" max="2" width="10.33203125" style="22" customWidth="1"/>
    <col min="3" max="3" width="18.5546875" style="22" bestFit="1" customWidth="1"/>
    <col min="4" max="4" width="13.6640625" style="22" customWidth="1"/>
    <col min="5" max="5" width="56.109375" style="22" bestFit="1" customWidth="1"/>
    <col min="6" max="6" width="14.44140625" style="22" customWidth="1"/>
    <col min="7" max="7" width="19.6640625" style="22" bestFit="1" customWidth="1"/>
    <col min="8" max="8" width="14.5546875" style="22" customWidth="1"/>
    <col min="9" max="9" width="16.33203125" style="22" customWidth="1"/>
    <col min="10" max="10" width="17.5546875" style="22" customWidth="1"/>
    <col min="11" max="11" width="13.33203125" style="22" customWidth="1"/>
    <col min="12" max="12" width="8.33203125" style="47" customWidth="1"/>
    <col min="13" max="13" width="9.5546875" style="674" customWidth="1"/>
    <col min="14" max="14" width="6.33203125" style="22" bestFit="1" customWidth="1"/>
    <col min="15" max="15" width="6.5546875" style="28" bestFit="1" customWidth="1"/>
    <col min="16" max="16" width="12.5546875" style="635" customWidth="1"/>
    <col min="17" max="17" width="14" style="639" customWidth="1"/>
    <col min="18" max="18" width="14.33203125" style="639" customWidth="1"/>
    <col min="19" max="19" width="12.5546875" style="635" customWidth="1"/>
    <col min="20" max="20" width="9.6640625" style="28" bestFit="1" customWidth="1"/>
    <col min="21" max="21" width="10.33203125" style="22" bestFit="1" customWidth="1"/>
    <col min="22" max="22" width="9.6640625" style="22" bestFit="1" customWidth="1"/>
    <col min="23" max="23" width="9.6640625" style="28" bestFit="1" customWidth="1"/>
    <col min="24" max="24" width="8.6640625" style="28" customWidth="1"/>
    <col min="25" max="26" width="8.6640625" style="22" customWidth="1"/>
    <col min="27" max="28" width="8.6640625" style="28" customWidth="1"/>
    <col min="29" max="30" width="8.6640625" style="22" customWidth="1"/>
    <col min="31" max="31" width="8.6640625" style="28" customWidth="1"/>
    <col min="32" max="32" width="9.33203125" style="28" customWidth="1"/>
    <col min="33" max="43" width="15.6640625" style="22" customWidth="1"/>
    <col min="44" max="16384" width="9.33203125" style="22"/>
  </cols>
  <sheetData>
    <row r="1" spans="1:43" ht="57" customHeight="1" thickBot="1" x14ac:dyDescent="0.3">
      <c r="O1" s="280"/>
      <c r="P1" s="611"/>
      <c r="Q1" s="611"/>
      <c r="R1" s="611"/>
      <c r="S1" s="611"/>
      <c r="T1" s="280"/>
      <c r="U1" s="280"/>
      <c r="V1" s="280"/>
      <c r="W1" s="280"/>
      <c r="X1" s="280"/>
      <c r="Y1" s="280"/>
      <c r="Z1" s="280"/>
      <c r="AA1" s="280"/>
      <c r="AB1" s="280"/>
      <c r="AC1" s="280"/>
      <c r="AD1" s="280"/>
      <c r="AE1" s="280"/>
      <c r="AF1" s="280"/>
    </row>
    <row r="2" spans="1:43" s="128" customFormat="1" ht="42" thickBot="1" x14ac:dyDescent="0.3">
      <c r="A2" s="374" t="s">
        <v>19</v>
      </c>
      <c r="B2" s="375" t="s">
        <v>1444</v>
      </c>
      <c r="C2" s="376" t="s">
        <v>26</v>
      </c>
      <c r="D2" s="376" t="s">
        <v>11</v>
      </c>
      <c r="E2" s="377" t="s">
        <v>12</v>
      </c>
      <c r="F2" s="377" t="s">
        <v>13</v>
      </c>
      <c r="G2" s="377" t="s">
        <v>1484</v>
      </c>
      <c r="H2" s="535" t="s">
        <v>115</v>
      </c>
      <c r="I2" s="535" t="s">
        <v>1504</v>
      </c>
      <c r="J2" s="535" t="s">
        <v>1503</v>
      </c>
      <c r="K2" s="535" t="s">
        <v>67</v>
      </c>
      <c r="L2" s="379" t="s">
        <v>324</v>
      </c>
      <c r="M2" s="681" t="s">
        <v>20</v>
      </c>
      <c r="N2" s="380" t="s">
        <v>6</v>
      </c>
      <c r="O2" s="509" t="s">
        <v>7</v>
      </c>
      <c r="P2" s="612" t="s">
        <v>1481</v>
      </c>
      <c r="Q2" s="613" t="s">
        <v>1730</v>
      </c>
      <c r="R2" s="613" t="s">
        <v>1482</v>
      </c>
      <c r="S2" s="614" t="s">
        <v>1679</v>
      </c>
      <c r="T2" s="382" t="s">
        <v>1434</v>
      </c>
      <c r="U2" s="376" t="s">
        <v>1731</v>
      </c>
      <c r="V2" s="376" t="s">
        <v>1435</v>
      </c>
      <c r="W2" s="381" t="s">
        <v>1436</v>
      </c>
      <c r="X2" s="382" t="s">
        <v>1437</v>
      </c>
      <c r="Y2" s="376" t="s">
        <v>1732</v>
      </c>
      <c r="Z2" s="376" t="s">
        <v>1438</v>
      </c>
      <c r="AA2" s="381" t="s">
        <v>1439</v>
      </c>
      <c r="AB2" s="382" t="s">
        <v>1440</v>
      </c>
      <c r="AC2" s="376" t="s">
        <v>1733</v>
      </c>
      <c r="AD2" s="376" t="s">
        <v>1441</v>
      </c>
      <c r="AE2" s="381" t="s">
        <v>1443</v>
      </c>
      <c r="AF2" s="382" t="s">
        <v>1453</v>
      </c>
      <c r="AG2" s="383" t="s">
        <v>21</v>
      </c>
      <c r="AH2" s="383" t="s">
        <v>22</v>
      </c>
      <c r="AI2" s="383" t="s">
        <v>23</v>
      </c>
      <c r="AJ2" s="383" t="s">
        <v>24</v>
      </c>
      <c r="AK2" s="383" t="s">
        <v>25</v>
      </c>
      <c r="AL2" s="383" t="s">
        <v>1103</v>
      </c>
      <c r="AM2" s="383" t="s">
        <v>1104</v>
      </c>
      <c r="AN2" s="383" t="s">
        <v>1105</v>
      </c>
      <c r="AO2" s="384" t="s">
        <v>27</v>
      </c>
      <c r="AP2" s="384" t="s">
        <v>28</v>
      </c>
      <c r="AQ2" s="385" t="s">
        <v>29</v>
      </c>
    </row>
    <row r="3" spans="1:43" s="16" customFormat="1" ht="15.6" x14ac:dyDescent="0.3">
      <c r="A3" s="800" t="s">
        <v>404</v>
      </c>
      <c r="B3" s="800"/>
      <c r="C3" s="800"/>
      <c r="D3" s="24"/>
      <c r="E3" s="21"/>
      <c r="H3" s="32"/>
      <c r="I3" s="32"/>
      <c r="J3" s="32"/>
      <c r="K3" s="32"/>
      <c r="L3" s="299"/>
      <c r="M3" s="691"/>
      <c r="N3" s="19"/>
      <c r="O3" s="77"/>
      <c r="P3" s="615"/>
      <c r="Q3" s="616"/>
      <c r="R3" s="616"/>
      <c r="S3" s="617"/>
      <c r="T3" s="44"/>
      <c r="U3" s="17"/>
      <c r="V3" s="17"/>
      <c r="W3" s="45"/>
      <c r="X3" s="44"/>
      <c r="Y3" s="17"/>
      <c r="Z3" s="17"/>
      <c r="AA3" s="45"/>
      <c r="AB3" s="44"/>
      <c r="AC3" s="17"/>
      <c r="AD3" s="17"/>
      <c r="AE3" s="45"/>
      <c r="AF3" s="46"/>
      <c r="AG3" s="22"/>
      <c r="AH3" s="22"/>
      <c r="AI3" s="22"/>
      <c r="AJ3" s="22"/>
      <c r="AK3" s="22"/>
      <c r="AL3" s="22"/>
      <c r="AN3" s="23"/>
    </row>
    <row r="4" spans="1:43" s="16" customFormat="1" x14ac:dyDescent="0.25">
      <c r="A4" s="801" t="s">
        <v>122</v>
      </c>
      <c r="B4" s="801"/>
      <c r="C4" s="802"/>
      <c r="D4" s="24"/>
      <c r="E4" s="21"/>
      <c r="G4" s="20"/>
      <c r="H4" s="31"/>
      <c r="I4" s="31"/>
      <c r="J4" s="31"/>
      <c r="K4" s="31"/>
      <c r="L4" s="300"/>
      <c r="M4" s="691"/>
      <c r="N4" s="19"/>
      <c r="O4" s="77"/>
      <c r="P4" s="618"/>
      <c r="Q4" s="619"/>
      <c r="R4" s="619"/>
      <c r="S4" s="617"/>
      <c r="T4" s="44"/>
      <c r="U4" s="17"/>
      <c r="V4" s="17"/>
      <c r="W4" s="45"/>
      <c r="X4" s="44"/>
      <c r="Y4" s="17"/>
      <c r="Z4" s="17"/>
      <c r="AA4" s="45"/>
      <c r="AB4" s="44"/>
      <c r="AC4" s="17"/>
      <c r="AD4" s="17"/>
      <c r="AE4" s="45"/>
      <c r="AF4" s="46"/>
      <c r="AG4" s="22"/>
      <c r="AH4" s="22"/>
      <c r="AI4" s="22"/>
      <c r="AJ4" s="22"/>
      <c r="AK4" s="22"/>
      <c r="AL4" s="22"/>
      <c r="AN4" s="23"/>
    </row>
    <row r="5" spans="1:43" s="16" customFormat="1" x14ac:dyDescent="0.25">
      <c r="A5" s="16" t="s">
        <v>152</v>
      </c>
      <c r="B5" s="143"/>
      <c r="C5" s="24" t="s">
        <v>127</v>
      </c>
      <c r="D5" s="16" t="s">
        <v>88</v>
      </c>
      <c r="E5" s="47" t="s">
        <v>1329</v>
      </c>
      <c r="F5" s="16" t="s">
        <v>49</v>
      </c>
      <c r="G5" s="20" t="s">
        <v>1507</v>
      </c>
      <c r="H5" s="31" t="s">
        <v>124</v>
      </c>
      <c r="I5" s="140" t="s">
        <v>2635</v>
      </c>
      <c r="J5" s="140" t="s">
        <v>2636</v>
      </c>
      <c r="K5" s="31" t="s">
        <v>360</v>
      </c>
      <c r="L5" s="133" t="s">
        <v>325</v>
      </c>
      <c r="M5" s="691">
        <v>14.99</v>
      </c>
      <c r="N5" s="19">
        <v>6</v>
      </c>
      <c r="O5" s="77">
        <v>36</v>
      </c>
      <c r="P5" s="620">
        <f>CONVERT(111,"g","lbm")</f>
        <v>0.24471311102521409</v>
      </c>
      <c r="Q5" s="621">
        <v>2.25</v>
      </c>
      <c r="R5" s="621">
        <v>2.25</v>
      </c>
      <c r="S5" s="622" t="s">
        <v>1630</v>
      </c>
      <c r="T5" s="46">
        <v>0.3</v>
      </c>
      <c r="U5" s="35">
        <v>6</v>
      </c>
      <c r="V5" s="35">
        <v>2.5</v>
      </c>
      <c r="W5" s="72">
        <v>6.25</v>
      </c>
      <c r="X5" s="46">
        <v>2.1</v>
      </c>
      <c r="Y5" s="35">
        <v>8.5</v>
      </c>
      <c r="Z5" s="35">
        <v>7.875</v>
      </c>
      <c r="AA5" s="72">
        <v>6.5</v>
      </c>
      <c r="AB5" s="46">
        <v>13.67</v>
      </c>
      <c r="AC5" s="35">
        <v>24.25</v>
      </c>
      <c r="AD5" s="35">
        <v>17.64</v>
      </c>
      <c r="AE5" s="72">
        <v>7.24</v>
      </c>
      <c r="AF5" s="46">
        <f>AC5*AD5*AE5/(12^3)</f>
        <v>1.7922770833333335</v>
      </c>
      <c r="AG5" s="161" t="s">
        <v>1127</v>
      </c>
      <c r="AH5" s="161" t="s">
        <v>1121</v>
      </c>
      <c r="AI5" s="169" t="s">
        <v>32</v>
      </c>
      <c r="AJ5" s="161" t="s">
        <v>1128</v>
      </c>
      <c r="AK5" s="161" t="s">
        <v>1129</v>
      </c>
      <c r="AL5" s="161" t="s">
        <v>1324</v>
      </c>
      <c r="AM5" s="161"/>
      <c r="AN5" s="161"/>
      <c r="AO5" s="161" t="s">
        <v>1130</v>
      </c>
      <c r="AP5" s="161" t="s">
        <v>1247</v>
      </c>
      <c r="AQ5" s="159"/>
    </row>
    <row r="6" spans="1:43" s="16" customFormat="1" x14ac:dyDescent="0.25">
      <c r="A6" s="16" t="s">
        <v>152</v>
      </c>
      <c r="B6" s="143"/>
      <c r="C6" s="24" t="s">
        <v>127</v>
      </c>
      <c r="D6" s="16" t="s">
        <v>89</v>
      </c>
      <c r="E6" s="47" t="s">
        <v>1329</v>
      </c>
      <c r="F6" s="16" t="s">
        <v>50</v>
      </c>
      <c r="G6" s="20" t="s">
        <v>1507</v>
      </c>
      <c r="H6" s="31" t="s">
        <v>125</v>
      </c>
      <c r="I6" s="140" t="s">
        <v>2637</v>
      </c>
      <c r="J6" s="140" t="s">
        <v>2638</v>
      </c>
      <c r="K6" s="31" t="s">
        <v>360</v>
      </c>
      <c r="L6" s="133" t="s">
        <v>325</v>
      </c>
      <c r="M6" s="691">
        <v>14.99</v>
      </c>
      <c r="N6" s="19">
        <v>6</v>
      </c>
      <c r="O6" s="77">
        <v>36</v>
      </c>
      <c r="P6" s="620">
        <f>CONVERT(111,"g","lbm")</f>
        <v>0.24471311102521409</v>
      </c>
      <c r="Q6" s="621">
        <v>2.25</v>
      </c>
      <c r="R6" s="621">
        <v>2.25</v>
      </c>
      <c r="S6" s="622" t="s">
        <v>1630</v>
      </c>
      <c r="T6" s="46">
        <v>0.3</v>
      </c>
      <c r="U6" s="35">
        <v>6</v>
      </c>
      <c r="V6" s="35">
        <v>2.5</v>
      </c>
      <c r="W6" s="72">
        <v>6.25</v>
      </c>
      <c r="X6" s="46">
        <v>2.1</v>
      </c>
      <c r="Y6" s="35">
        <v>8.5</v>
      </c>
      <c r="Z6" s="35">
        <v>7.875</v>
      </c>
      <c r="AA6" s="72">
        <v>6.5</v>
      </c>
      <c r="AB6" s="46">
        <v>13.67</v>
      </c>
      <c r="AC6" s="35">
        <v>24.25</v>
      </c>
      <c r="AD6" s="35">
        <v>17.64</v>
      </c>
      <c r="AE6" s="72">
        <v>7.24</v>
      </c>
      <c r="AF6" s="46">
        <f>AC6*AD6*AE6/(12^3)</f>
        <v>1.7922770833333335</v>
      </c>
      <c r="AG6" s="161" t="s">
        <v>1127</v>
      </c>
      <c r="AH6" s="161" t="s">
        <v>1121</v>
      </c>
      <c r="AI6" s="169" t="s">
        <v>32</v>
      </c>
      <c r="AJ6" s="161" t="s">
        <v>1128</v>
      </c>
      <c r="AK6" s="161" t="s">
        <v>1129</v>
      </c>
      <c r="AL6" s="161" t="s">
        <v>1324</v>
      </c>
      <c r="AM6" s="161"/>
      <c r="AN6" s="161"/>
      <c r="AO6" s="161" t="s">
        <v>1130</v>
      </c>
      <c r="AP6" s="161" t="s">
        <v>1247</v>
      </c>
      <c r="AQ6" s="159"/>
    </row>
    <row r="7" spans="1:43" s="16" customFormat="1" x14ac:dyDescent="0.25">
      <c r="A7" s="16" t="s">
        <v>152</v>
      </c>
      <c r="B7" s="143"/>
      <c r="C7" s="24" t="s">
        <v>127</v>
      </c>
      <c r="D7" s="16" t="s">
        <v>92</v>
      </c>
      <c r="E7" s="47" t="s">
        <v>1329</v>
      </c>
      <c r="F7" s="16" t="s">
        <v>51</v>
      </c>
      <c r="G7" s="20" t="s">
        <v>1507</v>
      </c>
      <c r="H7" s="31" t="s">
        <v>126</v>
      </c>
      <c r="I7" s="140" t="s">
        <v>2639</v>
      </c>
      <c r="J7" s="140" t="s">
        <v>2640</v>
      </c>
      <c r="K7" s="31" t="s">
        <v>360</v>
      </c>
      <c r="L7" s="133" t="s">
        <v>325</v>
      </c>
      <c r="M7" s="691">
        <v>14.99</v>
      </c>
      <c r="N7" s="19">
        <v>6</v>
      </c>
      <c r="O7" s="77">
        <v>36</v>
      </c>
      <c r="P7" s="620">
        <f>CONVERT(111,"g","lbm")</f>
        <v>0.24471311102521409</v>
      </c>
      <c r="Q7" s="621">
        <v>2.25</v>
      </c>
      <c r="R7" s="621">
        <v>2.25</v>
      </c>
      <c r="S7" s="622" t="s">
        <v>1630</v>
      </c>
      <c r="T7" s="46">
        <v>0.3</v>
      </c>
      <c r="U7" s="35">
        <v>6</v>
      </c>
      <c r="V7" s="35">
        <v>2.5</v>
      </c>
      <c r="W7" s="72">
        <v>6.25</v>
      </c>
      <c r="X7" s="46">
        <v>2.1</v>
      </c>
      <c r="Y7" s="35">
        <v>8.5</v>
      </c>
      <c r="Z7" s="35">
        <v>7.875</v>
      </c>
      <c r="AA7" s="72">
        <v>6.5</v>
      </c>
      <c r="AB7" s="46">
        <v>13.67</v>
      </c>
      <c r="AC7" s="35">
        <v>24.25</v>
      </c>
      <c r="AD7" s="35">
        <v>17.64</v>
      </c>
      <c r="AE7" s="72">
        <v>7.24</v>
      </c>
      <c r="AF7" s="46">
        <f>AC7*AD7*AE7/(12^3)</f>
        <v>1.7922770833333335</v>
      </c>
      <c r="AG7" s="161" t="s">
        <v>1127</v>
      </c>
      <c r="AH7" s="161" t="s">
        <v>1121</v>
      </c>
      <c r="AI7" s="169" t="s">
        <v>32</v>
      </c>
      <c r="AJ7" s="161" t="s">
        <v>1128</v>
      </c>
      <c r="AK7" s="161" t="s">
        <v>1129</v>
      </c>
      <c r="AL7" s="161" t="s">
        <v>1324</v>
      </c>
      <c r="AM7" s="161"/>
      <c r="AN7" s="161"/>
      <c r="AO7" s="161" t="s">
        <v>1130</v>
      </c>
      <c r="AP7" s="161" t="s">
        <v>1247</v>
      </c>
      <c r="AQ7" s="159"/>
    </row>
    <row r="8" spans="1:43" s="16" customFormat="1" x14ac:dyDescent="0.25">
      <c r="A8" s="16" t="s">
        <v>152</v>
      </c>
      <c r="B8" s="143"/>
      <c r="C8" s="24" t="s">
        <v>127</v>
      </c>
      <c r="D8" s="16" t="s">
        <v>87</v>
      </c>
      <c r="E8" s="47" t="s">
        <v>1329</v>
      </c>
      <c r="F8" s="16" t="s">
        <v>54</v>
      </c>
      <c r="G8" s="20" t="s">
        <v>1507</v>
      </c>
      <c r="H8" s="31" t="s">
        <v>123</v>
      </c>
      <c r="I8" s="140" t="s">
        <v>2633</v>
      </c>
      <c r="J8" s="140" t="s">
        <v>2634</v>
      </c>
      <c r="K8" s="31" t="s">
        <v>360</v>
      </c>
      <c r="L8" s="133" t="s">
        <v>325</v>
      </c>
      <c r="M8" s="691">
        <v>14.99</v>
      </c>
      <c r="N8" s="19">
        <v>6</v>
      </c>
      <c r="O8" s="77">
        <v>36</v>
      </c>
      <c r="P8" s="620">
        <f>CONVERT(111,"g","lbm")</f>
        <v>0.24471311102521409</v>
      </c>
      <c r="Q8" s="621">
        <v>2.25</v>
      </c>
      <c r="R8" s="621">
        <v>2.25</v>
      </c>
      <c r="S8" s="622" t="s">
        <v>1630</v>
      </c>
      <c r="T8" s="46">
        <v>0.3</v>
      </c>
      <c r="U8" s="35">
        <v>6</v>
      </c>
      <c r="V8" s="35">
        <v>2.5</v>
      </c>
      <c r="W8" s="72">
        <v>6.25</v>
      </c>
      <c r="X8" s="46">
        <v>2.1</v>
      </c>
      <c r="Y8" s="35">
        <v>8.5</v>
      </c>
      <c r="Z8" s="35">
        <v>7.875</v>
      </c>
      <c r="AA8" s="72">
        <v>6.5</v>
      </c>
      <c r="AB8" s="46">
        <v>13.67</v>
      </c>
      <c r="AC8" s="35">
        <v>24.25</v>
      </c>
      <c r="AD8" s="35">
        <v>17.64</v>
      </c>
      <c r="AE8" s="72">
        <v>7.24</v>
      </c>
      <c r="AF8" s="46">
        <f>AC8*AD8*AE8/(12^3)</f>
        <v>1.7922770833333335</v>
      </c>
      <c r="AG8" s="161" t="s">
        <v>1127</v>
      </c>
      <c r="AH8" s="161" t="s">
        <v>1121</v>
      </c>
      <c r="AI8" s="169" t="s">
        <v>32</v>
      </c>
      <c r="AJ8" s="161" t="s">
        <v>1128</v>
      </c>
      <c r="AK8" s="161" t="s">
        <v>1129</v>
      </c>
      <c r="AL8" s="161" t="s">
        <v>1324</v>
      </c>
      <c r="AM8" s="161"/>
      <c r="AN8" s="161"/>
      <c r="AO8" s="161" t="s">
        <v>1130</v>
      </c>
      <c r="AP8" s="161" t="s">
        <v>1247</v>
      </c>
      <c r="AQ8" s="159"/>
    </row>
    <row r="9" spans="1:43" s="16" customFormat="1" x14ac:dyDescent="0.25">
      <c r="A9" s="801" t="s">
        <v>118</v>
      </c>
      <c r="B9" s="801"/>
      <c r="C9" s="802"/>
      <c r="D9" s="17"/>
      <c r="E9" s="18"/>
      <c r="G9" s="20"/>
      <c r="H9" s="29"/>
      <c r="I9" s="29"/>
      <c r="J9" s="29"/>
      <c r="K9" s="29"/>
      <c r="L9" s="133"/>
      <c r="M9" s="691"/>
      <c r="N9" s="19"/>
      <c r="O9" s="77"/>
      <c r="P9" s="620"/>
      <c r="Q9" s="621"/>
      <c r="R9" s="621"/>
      <c r="S9" s="617"/>
      <c r="T9" s="46"/>
      <c r="U9" s="35"/>
      <c r="V9" s="35"/>
      <c r="W9" s="72"/>
      <c r="X9" s="46"/>
      <c r="Y9" s="35"/>
      <c r="Z9" s="35"/>
      <c r="AA9" s="72"/>
      <c r="AB9" s="46"/>
      <c r="AC9" s="35"/>
      <c r="AD9" s="35"/>
      <c r="AE9" s="72"/>
      <c r="AF9" s="46"/>
      <c r="AG9" s="48"/>
      <c r="AH9" s="48"/>
      <c r="AI9" s="48"/>
      <c r="AJ9" s="48"/>
      <c r="AK9" s="48"/>
      <c r="AL9" s="48"/>
      <c r="AM9" s="48"/>
      <c r="AN9" s="48"/>
      <c r="AO9" s="48"/>
      <c r="AP9" s="48"/>
      <c r="AQ9" s="48"/>
    </row>
    <row r="10" spans="1:43" s="16" customFormat="1" x14ac:dyDescent="0.25">
      <c r="A10" s="16" t="s">
        <v>152</v>
      </c>
      <c r="B10" s="143"/>
      <c r="C10" s="24" t="s">
        <v>133</v>
      </c>
      <c r="D10" s="20"/>
      <c r="E10" s="21" t="s">
        <v>1330</v>
      </c>
      <c r="F10" s="16" t="s">
        <v>14</v>
      </c>
      <c r="G10" s="20" t="s">
        <v>1507</v>
      </c>
      <c r="H10" s="31" t="s">
        <v>167</v>
      </c>
      <c r="I10" s="140"/>
      <c r="J10" s="140"/>
      <c r="K10" s="31" t="s">
        <v>360</v>
      </c>
      <c r="L10" s="300" t="s">
        <v>326</v>
      </c>
      <c r="M10" s="691">
        <v>14.99</v>
      </c>
      <c r="N10" s="19">
        <v>1</v>
      </c>
      <c r="O10" s="77">
        <v>50</v>
      </c>
      <c r="P10" s="620">
        <f t="shared" ref="P10:P16" si="0">CONVERT(99,"g","lbm")</f>
        <v>0.21825763956302879</v>
      </c>
      <c r="Q10" s="621">
        <v>2.25</v>
      </c>
      <c r="R10" s="621">
        <v>2.25</v>
      </c>
      <c r="S10" s="623">
        <v>4</v>
      </c>
      <c r="T10" s="46">
        <v>0.3</v>
      </c>
      <c r="U10" s="35">
        <v>6.5</v>
      </c>
      <c r="V10" s="35">
        <v>2.5</v>
      </c>
      <c r="W10" s="72">
        <v>6.875</v>
      </c>
      <c r="X10" s="46" t="s">
        <v>66</v>
      </c>
      <c r="Y10" s="35" t="s">
        <v>66</v>
      </c>
      <c r="Z10" s="35" t="s">
        <v>66</v>
      </c>
      <c r="AA10" s="72" t="s">
        <v>66</v>
      </c>
      <c r="AB10" s="46">
        <v>15.85</v>
      </c>
      <c r="AC10" s="35">
        <v>20.125</v>
      </c>
      <c r="AD10" s="35">
        <v>20.125</v>
      </c>
      <c r="AE10" s="72">
        <v>10.5</v>
      </c>
      <c r="AF10" s="46">
        <f t="shared" ref="AF10:AF16" si="1">AC10*AD10*AE10/(12^3)</f>
        <v>2.4610324435763888</v>
      </c>
      <c r="AG10" s="169" t="s">
        <v>1121</v>
      </c>
      <c r="AH10" s="161" t="s">
        <v>1122</v>
      </c>
      <c r="AI10" s="161" t="s">
        <v>32</v>
      </c>
      <c r="AJ10" s="163" t="s">
        <v>1600</v>
      </c>
      <c r="AK10" s="48"/>
      <c r="AL10" s="161"/>
      <c r="AM10" s="161"/>
      <c r="AN10" s="161"/>
      <c r="AO10" s="161" t="s">
        <v>1123</v>
      </c>
      <c r="AP10" s="48" t="s">
        <v>107</v>
      </c>
      <c r="AQ10" s="161" t="s">
        <v>1247</v>
      </c>
    </row>
    <row r="11" spans="1:43" s="16" customFormat="1" x14ac:dyDescent="0.25">
      <c r="A11" s="16" t="s">
        <v>152</v>
      </c>
      <c r="B11" s="143"/>
      <c r="C11" s="24" t="s">
        <v>898</v>
      </c>
      <c r="D11" s="16" t="s">
        <v>87</v>
      </c>
      <c r="E11" s="21" t="s">
        <v>1330</v>
      </c>
      <c r="F11" s="16" t="s">
        <v>54</v>
      </c>
      <c r="G11" s="20" t="s">
        <v>1507</v>
      </c>
      <c r="H11" s="31" t="s">
        <v>168</v>
      </c>
      <c r="I11" s="140"/>
      <c r="J11" s="140"/>
      <c r="K11" s="31" t="s">
        <v>360</v>
      </c>
      <c r="L11" s="300" t="s">
        <v>326</v>
      </c>
      <c r="M11" s="691">
        <v>14.99</v>
      </c>
      <c r="N11" s="19">
        <v>1</v>
      </c>
      <c r="O11" s="77">
        <v>50</v>
      </c>
      <c r="P11" s="620">
        <f t="shared" si="0"/>
        <v>0.21825763956302879</v>
      </c>
      <c r="Q11" s="621">
        <v>2.25</v>
      </c>
      <c r="R11" s="621">
        <v>2.25</v>
      </c>
      <c r="S11" s="623">
        <v>4</v>
      </c>
      <c r="T11" s="46">
        <v>0.3</v>
      </c>
      <c r="U11" s="35">
        <v>6.5</v>
      </c>
      <c r="V11" s="35">
        <v>2.5</v>
      </c>
      <c r="W11" s="72">
        <v>6.875</v>
      </c>
      <c r="X11" s="46" t="s">
        <v>66</v>
      </c>
      <c r="Y11" s="35" t="s">
        <v>66</v>
      </c>
      <c r="Z11" s="35" t="s">
        <v>66</v>
      </c>
      <c r="AA11" s="72" t="s">
        <v>66</v>
      </c>
      <c r="AB11" s="46">
        <v>15.85</v>
      </c>
      <c r="AC11" s="35">
        <v>20.125</v>
      </c>
      <c r="AD11" s="35">
        <v>20.125</v>
      </c>
      <c r="AE11" s="72">
        <v>10.5</v>
      </c>
      <c r="AF11" s="46">
        <f t="shared" si="1"/>
        <v>2.4610324435763888</v>
      </c>
      <c r="AG11" s="169" t="s">
        <v>1121</v>
      </c>
      <c r="AH11" s="161" t="s">
        <v>1122</v>
      </c>
      <c r="AI11" s="161" t="s">
        <v>32</v>
      </c>
      <c r="AJ11" s="163" t="s">
        <v>1600</v>
      </c>
      <c r="AK11" s="48"/>
      <c r="AL11" s="161"/>
      <c r="AM11" s="161"/>
      <c r="AN11" s="161"/>
      <c r="AO11" s="161" t="s">
        <v>1123</v>
      </c>
      <c r="AP11" s="48" t="s">
        <v>107</v>
      </c>
      <c r="AQ11" s="161" t="s">
        <v>1247</v>
      </c>
    </row>
    <row r="12" spans="1:43" s="16" customFormat="1" x14ac:dyDescent="0.25">
      <c r="A12" s="16" t="s">
        <v>152</v>
      </c>
      <c r="B12" s="143"/>
      <c r="C12" s="24" t="s">
        <v>898</v>
      </c>
      <c r="D12" s="16" t="s">
        <v>89</v>
      </c>
      <c r="E12" s="21" t="s">
        <v>1330</v>
      </c>
      <c r="F12" s="16" t="s">
        <v>50</v>
      </c>
      <c r="G12" s="20" t="s">
        <v>1507</v>
      </c>
      <c r="H12" s="31" t="s">
        <v>169</v>
      </c>
      <c r="I12" s="140"/>
      <c r="J12" s="140"/>
      <c r="K12" s="31" t="s">
        <v>360</v>
      </c>
      <c r="L12" s="300" t="s">
        <v>326</v>
      </c>
      <c r="M12" s="691">
        <v>14.99</v>
      </c>
      <c r="N12" s="19">
        <v>1</v>
      </c>
      <c r="O12" s="77">
        <v>50</v>
      </c>
      <c r="P12" s="620">
        <f t="shared" si="0"/>
        <v>0.21825763956302879</v>
      </c>
      <c r="Q12" s="621">
        <v>2.25</v>
      </c>
      <c r="R12" s="621">
        <v>2.25</v>
      </c>
      <c r="S12" s="623">
        <v>4</v>
      </c>
      <c r="T12" s="46">
        <v>0.3</v>
      </c>
      <c r="U12" s="35">
        <v>6.5</v>
      </c>
      <c r="V12" s="35">
        <v>2.5</v>
      </c>
      <c r="W12" s="72">
        <v>6.875</v>
      </c>
      <c r="X12" s="46" t="s">
        <v>66</v>
      </c>
      <c r="Y12" s="35" t="s">
        <v>66</v>
      </c>
      <c r="Z12" s="35" t="s">
        <v>66</v>
      </c>
      <c r="AA12" s="72" t="s">
        <v>66</v>
      </c>
      <c r="AB12" s="46">
        <v>15.85</v>
      </c>
      <c r="AC12" s="35">
        <v>20.125</v>
      </c>
      <c r="AD12" s="35">
        <v>20.125</v>
      </c>
      <c r="AE12" s="72">
        <v>10.5</v>
      </c>
      <c r="AF12" s="46">
        <f t="shared" si="1"/>
        <v>2.4610324435763888</v>
      </c>
      <c r="AG12" s="169" t="s">
        <v>1121</v>
      </c>
      <c r="AH12" s="161" t="s">
        <v>1122</v>
      </c>
      <c r="AI12" s="161" t="s">
        <v>32</v>
      </c>
      <c r="AJ12" s="163" t="s">
        <v>1600</v>
      </c>
      <c r="AK12" s="48"/>
      <c r="AL12" s="161"/>
      <c r="AM12" s="161"/>
      <c r="AN12" s="161"/>
      <c r="AO12" s="161" t="s">
        <v>1123</v>
      </c>
      <c r="AP12" s="48" t="s">
        <v>107</v>
      </c>
      <c r="AQ12" s="161" t="s">
        <v>1247</v>
      </c>
    </row>
    <row r="13" spans="1:43" s="410" customFormat="1" x14ac:dyDescent="0.25">
      <c r="A13" s="410" t="s">
        <v>152</v>
      </c>
      <c r="B13" s="411"/>
      <c r="C13" s="424" t="s">
        <v>898</v>
      </c>
      <c r="D13" s="410" t="s">
        <v>88</v>
      </c>
      <c r="E13" s="424" t="s">
        <v>1330</v>
      </c>
      <c r="F13" s="410" t="s">
        <v>49</v>
      </c>
      <c r="G13" s="410" t="s">
        <v>1507</v>
      </c>
      <c r="H13" s="425" t="s">
        <v>170</v>
      </c>
      <c r="I13" s="425"/>
      <c r="J13" s="425"/>
      <c r="K13" s="425" t="s">
        <v>360</v>
      </c>
      <c r="L13" s="608" t="s">
        <v>326</v>
      </c>
      <c r="M13" s="694">
        <v>14.99</v>
      </c>
      <c r="N13" s="417">
        <v>1</v>
      </c>
      <c r="O13" s="418">
        <v>50</v>
      </c>
      <c r="P13" s="624">
        <f t="shared" si="0"/>
        <v>0.21825763956302879</v>
      </c>
      <c r="Q13" s="625">
        <v>2.25</v>
      </c>
      <c r="R13" s="625">
        <v>2.25</v>
      </c>
      <c r="S13" s="626">
        <v>4</v>
      </c>
      <c r="T13" s="46">
        <v>0.3</v>
      </c>
      <c r="U13" s="35">
        <v>6.5</v>
      </c>
      <c r="V13" s="35">
        <v>2.5</v>
      </c>
      <c r="W13" s="72">
        <v>6.875</v>
      </c>
      <c r="X13" s="46" t="s">
        <v>66</v>
      </c>
      <c r="Y13" s="35" t="s">
        <v>66</v>
      </c>
      <c r="Z13" s="35" t="s">
        <v>66</v>
      </c>
      <c r="AA13" s="72" t="s">
        <v>66</v>
      </c>
      <c r="AB13" s="46">
        <v>15.85</v>
      </c>
      <c r="AC13" s="35">
        <v>20.125</v>
      </c>
      <c r="AD13" s="35">
        <v>20.125</v>
      </c>
      <c r="AE13" s="72">
        <v>10.5</v>
      </c>
      <c r="AF13" s="419">
        <f t="shared" si="1"/>
        <v>2.4610324435763888</v>
      </c>
      <c r="AG13" s="588" t="s">
        <v>1121</v>
      </c>
      <c r="AH13" s="588" t="s">
        <v>1122</v>
      </c>
      <c r="AI13" s="588" t="s">
        <v>32</v>
      </c>
      <c r="AJ13" s="609" t="s">
        <v>1600</v>
      </c>
      <c r="AK13" s="587"/>
      <c r="AL13" s="588"/>
      <c r="AM13" s="588"/>
      <c r="AN13" s="588"/>
      <c r="AO13" s="588" t="s">
        <v>1123</v>
      </c>
      <c r="AP13" s="587" t="s">
        <v>107</v>
      </c>
      <c r="AQ13" s="588" t="s">
        <v>1247</v>
      </c>
    </row>
    <row r="14" spans="1:43" s="410" customFormat="1" x14ac:dyDescent="0.25">
      <c r="A14" s="410" t="s">
        <v>152</v>
      </c>
      <c r="B14" s="411"/>
      <c r="C14" s="424" t="s">
        <v>898</v>
      </c>
      <c r="D14" s="410" t="s">
        <v>95</v>
      </c>
      <c r="E14" s="424" t="s">
        <v>1330</v>
      </c>
      <c r="F14" s="410" t="s">
        <v>111</v>
      </c>
      <c r="G14" s="410" t="s">
        <v>1507</v>
      </c>
      <c r="H14" s="425" t="s">
        <v>171</v>
      </c>
      <c r="I14" s="425"/>
      <c r="J14" s="425"/>
      <c r="K14" s="425" t="s">
        <v>360</v>
      </c>
      <c r="L14" s="608" t="s">
        <v>326</v>
      </c>
      <c r="M14" s="694">
        <v>14.99</v>
      </c>
      <c r="N14" s="417">
        <v>1</v>
      </c>
      <c r="O14" s="418">
        <v>50</v>
      </c>
      <c r="P14" s="624">
        <f t="shared" si="0"/>
        <v>0.21825763956302879</v>
      </c>
      <c r="Q14" s="625">
        <v>2.25</v>
      </c>
      <c r="R14" s="625">
        <v>2.25</v>
      </c>
      <c r="S14" s="626">
        <v>4</v>
      </c>
      <c r="T14" s="46">
        <v>0.3</v>
      </c>
      <c r="U14" s="35">
        <v>6.5</v>
      </c>
      <c r="V14" s="35">
        <v>2.5</v>
      </c>
      <c r="W14" s="72">
        <v>6.875</v>
      </c>
      <c r="X14" s="46" t="s">
        <v>66</v>
      </c>
      <c r="Y14" s="35" t="s">
        <v>66</v>
      </c>
      <c r="Z14" s="35" t="s">
        <v>66</v>
      </c>
      <c r="AA14" s="72" t="s">
        <v>66</v>
      </c>
      <c r="AB14" s="46">
        <v>15.85</v>
      </c>
      <c r="AC14" s="35">
        <v>20.125</v>
      </c>
      <c r="AD14" s="35">
        <v>20.125</v>
      </c>
      <c r="AE14" s="72">
        <v>10.5</v>
      </c>
      <c r="AF14" s="419">
        <f t="shared" si="1"/>
        <v>2.4610324435763888</v>
      </c>
      <c r="AG14" s="588" t="s">
        <v>1121</v>
      </c>
      <c r="AH14" s="588" t="s">
        <v>1122</v>
      </c>
      <c r="AI14" s="588" t="s">
        <v>32</v>
      </c>
      <c r="AJ14" s="609" t="s">
        <v>1600</v>
      </c>
      <c r="AK14" s="587"/>
      <c r="AL14" s="588"/>
      <c r="AM14" s="588"/>
      <c r="AN14" s="588"/>
      <c r="AO14" s="588" t="s">
        <v>1123</v>
      </c>
      <c r="AP14" s="587" t="s">
        <v>107</v>
      </c>
      <c r="AQ14" s="588" t="s">
        <v>1247</v>
      </c>
    </row>
    <row r="15" spans="1:43" s="16" customFormat="1" x14ac:dyDescent="0.25">
      <c r="A15" s="16" t="s">
        <v>152</v>
      </c>
      <c r="B15" s="143"/>
      <c r="C15" s="24" t="s">
        <v>898</v>
      </c>
      <c r="D15" s="16" t="s">
        <v>90</v>
      </c>
      <c r="E15" s="21" t="s">
        <v>1330</v>
      </c>
      <c r="F15" s="16" t="s">
        <v>110</v>
      </c>
      <c r="G15" s="20" t="s">
        <v>1507</v>
      </c>
      <c r="H15" s="31" t="s">
        <v>172</v>
      </c>
      <c r="I15" s="140"/>
      <c r="J15" s="140"/>
      <c r="K15" s="31" t="s">
        <v>360</v>
      </c>
      <c r="L15" s="300" t="s">
        <v>326</v>
      </c>
      <c r="M15" s="691">
        <v>14.99</v>
      </c>
      <c r="N15" s="19">
        <v>1</v>
      </c>
      <c r="O15" s="77">
        <v>50</v>
      </c>
      <c r="P15" s="620">
        <f t="shared" si="0"/>
        <v>0.21825763956302879</v>
      </c>
      <c r="Q15" s="621">
        <v>2.25</v>
      </c>
      <c r="R15" s="621">
        <v>2.25</v>
      </c>
      <c r="S15" s="623">
        <v>4</v>
      </c>
      <c r="T15" s="46">
        <v>0.3</v>
      </c>
      <c r="U15" s="35">
        <v>6.5</v>
      </c>
      <c r="V15" s="35">
        <v>2.5</v>
      </c>
      <c r="W15" s="72">
        <v>6.875</v>
      </c>
      <c r="X15" s="46" t="s">
        <v>66</v>
      </c>
      <c r="Y15" s="35" t="s">
        <v>66</v>
      </c>
      <c r="Z15" s="35" t="s">
        <v>66</v>
      </c>
      <c r="AA15" s="72" t="s">
        <v>66</v>
      </c>
      <c r="AB15" s="46">
        <v>15.85</v>
      </c>
      <c r="AC15" s="35">
        <v>20.125</v>
      </c>
      <c r="AD15" s="35">
        <v>20.125</v>
      </c>
      <c r="AE15" s="72">
        <v>10.5</v>
      </c>
      <c r="AF15" s="46">
        <f t="shared" si="1"/>
        <v>2.4610324435763888</v>
      </c>
      <c r="AG15" s="169" t="s">
        <v>1121</v>
      </c>
      <c r="AH15" s="161" t="s">
        <v>1122</v>
      </c>
      <c r="AI15" s="161" t="s">
        <v>32</v>
      </c>
      <c r="AJ15" s="163" t="s">
        <v>1600</v>
      </c>
      <c r="AK15" s="48"/>
      <c r="AL15" s="161"/>
      <c r="AM15" s="161"/>
      <c r="AN15" s="161"/>
      <c r="AO15" s="161" t="s">
        <v>1123</v>
      </c>
      <c r="AP15" s="48" t="s">
        <v>107</v>
      </c>
      <c r="AQ15" s="161" t="s">
        <v>1247</v>
      </c>
    </row>
    <row r="16" spans="1:43" s="20" customFormat="1" x14ac:dyDescent="0.25">
      <c r="A16" s="20" t="s">
        <v>152</v>
      </c>
      <c r="B16" s="141"/>
      <c r="C16" s="21" t="s">
        <v>948</v>
      </c>
      <c r="D16" s="20" t="s">
        <v>89</v>
      </c>
      <c r="E16" s="21" t="s">
        <v>1330</v>
      </c>
      <c r="F16" s="16" t="s">
        <v>1101</v>
      </c>
      <c r="G16" s="20" t="s">
        <v>1507</v>
      </c>
      <c r="H16" s="30" t="s">
        <v>949</v>
      </c>
      <c r="I16" s="140"/>
      <c r="J16" s="140"/>
      <c r="K16" s="30" t="s">
        <v>360</v>
      </c>
      <c r="L16" s="301" t="s">
        <v>325</v>
      </c>
      <c r="M16" s="691">
        <v>12.99</v>
      </c>
      <c r="N16" s="19">
        <v>6</v>
      </c>
      <c r="O16" s="228">
        <v>36</v>
      </c>
      <c r="P16" s="620">
        <f t="shared" si="0"/>
        <v>0.21825763956302879</v>
      </c>
      <c r="Q16" s="621">
        <v>2.25</v>
      </c>
      <c r="R16" s="621">
        <v>2.25</v>
      </c>
      <c r="S16" s="623">
        <v>4</v>
      </c>
      <c r="T16" s="46">
        <v>0.3</v>
      </c>
      <c r="U16" s="35">
        <v>6.5</v>
      </c>
      <c r="V16" s="35">
        <v>2.5</v>
      </c>
      <c r="W16" s="72">
        <v>6.875</v>
      </c>
      <c r="X16" s="46">
        <v>1.95</v>
      </c>
      <c r="Y16" s="35">
        <v>10</v>
      </c>
      <c r="Z16" s="35">
        <v>8.25</v>
      </c>
      <c r="AA16" s="72">
        <v>7.25</v>
      </c>
      <c r="AB16" s="46">
        <v>13.23</v>
      </c>
      <c r="AC16" s="35">
        <v>25.59</v>
      </c>
      <c r="AD16" s="35">
        <v>10.55</v>
      </c>
      <c r="AE16" s="72">
        <v>15.28</v>
      </c>
      <c r="AF16" s="46">
        <f t="shared" si="1"/>
        <v>2.3872745138888889</v>
      </c>
      <c r="AG16" s="169" t="s">
        <v>1121</v>
      </c>
      <c r="AH16" s="161" t="s">
        <v>1122</v>
      </c>
      <c r="AI16" s="169" t="s">
        <v>32</v>
      </c>
      <c r="AJ16" s="163" t="s">
        <v>1600</v>
      </c>
      <c r="AK16" s="98"/>
      <c r="AL16" s="169"/>
      <c r="AM16" s="169"/>
      <c r="AN16" s="169"/>
      <c r="AO16" s="161" t="s">
        <v>1123</v>
      </c>
      <c r="AP16" s="161" t="s">
        <v>1247</v>
      </c>
      <c r="AQ16" s="160"/>
    </row>
    <row r="17" spans="1:43" s="16" customFormat="1" x14ac:dyDescent="0.25">
      <c r="A17" s="798" t="s">
        <v>1596</v>
      </c>
      <c r="B17" s="798"/>
      <c r="C17" s="798"/>
      <c r="E17" s="21"/>
      <c r="G17" s="20"/>
      <c r="H17" s="31"/>
      <c r="I17" s="31"/>
      <c r="J17" s="31"/>
      <c r="K17" s="31"/>
      <c r="L17" s="300"/>
      <c r="M17" s="691"/>
      <c r="N17" s="19"/>
      <c r="O17" s="77"/>
      <c r="P17" s="620"/>
      <c r="Q17" s="621"/>
      <c r="R17" s="621"/>
      <c r="S17" s="617"/>
      <c r="T17" s="44"/>
      <c r="U17" s="17"/>
      <c r="V17" s="17"/>
      <c r="W17" s="45"/>
      <c r="X17" s="44"/>
      <c r="Y17" s="17"/>
      <c r="Z17" s="17"/>
      <c r="AA17" s="45"/>
      <c r="AB17" s="44"/>
      <c r="AC17" s="17"/>
      <c r="AD17" s="17"/>
      <c r="AE17" s="45"/>
      <c r="AF17" s="46"/>
      <c r="AG17" s="161"/>
      <c r="AH17" s="161"/>
      <c r="AI17" s="161"/>
      <c r="AJ17" s="161"/>
      <c r="AK17" s="161"/>
      <c r="AL17" s="161"/>
      <c r="AM17" s="48"/>
      <c r="AN17" s="159"/>
      <c r="AO17" s="48"/>
      <c r="AP17" s="48"/>
      <c r="AQ17" s="48"/>
    </row>
    <row r="18" spans="1:43" ht="13.8" x14ac:dyDescent="0.3">
      <c r="A18" s="20" t="s">
        <v>152</v>
      </c>
      <c r="B18" s="366"/>
      <c r="C18" s="26" t="s">
        <v>1472</v>
      </c>
      <c r="D18" s="22" t="s">
        <v>89</v>
      </c>
      <c r="E18" s="21" t="s">
        <v>1473</v>
      </c>
      <c r="F18" s="22" t="s">
        <v>1101</v>
      </c>
      <c r="G18" s="39" t="s">
        <v>1518</v>
      </c>
      <c r="H18" s="30" t="s">
        <v>1678</v>
      </c>
      <c r="I18" s="30" t="s">
        <v>2254</v>
      </c>
      <c r="J18" s="30" t="s">
        <v>2255</v>
      </c>
      <c r="K18" s="296" t="s">
        <v>360</v>
      </c>
      <c r="L18" s="58" t="s">
        <v>325</v>
      </c>
      <c r="M18" s="679">
        <v>14.99</v>
      </c>
      <c r="N18" s="39">
        <v>6</v>
      </c>
      <c r="O18" s="279">
        <v>36</v>
      </c>
      <c r="P18" s="620">
        <f>CONVERT(160,"g","lbm")</f>
        <v>0.35273961949580412</v>
      </c>
      <c r="Q18" s="621" t="s">
        <v>66</v>
      </c>
      <c r="R18" s="621" t="s">
        <v>66</v>
      </c>
      <c r="S18" s="627" t="s">
        <v>66</v>
      </c>
      <c r="T18" s="397">
        <v>0.4</v>
      </c>
      <c r="U18" s="39">
        <v>3</v>
      </c>
      <c r="V18" s="39">
        <v>3.25</v>
      </c>
      <c r="W18" s="279">
        <v>5.75</v>
      </c>
      <c r="X18" s="397">
        <v>2.7</v>
      </c>
      <c r="Y18" s="39">
        <v>10.5</v>
      </c>
      <c r="Z18" s="39">
        <v>10</v>
      </c>
      <c r="AA18" s="279">
        <v>3.5</v>
      </c>
      <c r="AB18" s="397">
        <v>17.25</v>
      </c>
      <c r="AC18" s="39">
        <v>20.5</v>
      </c>
      <c r="AD18" s="39">
        <v>11</v>
      </c>
      <c r="AE18" s="279">
        <v>11.5</v>
      </c>
      <c r="AF18" s="46">
        <f>AC18*AD18*AE18/(12^3)</f>
        <v>1.5007233796296295</v>
      </c>
      <c r="AG18" s="161" t="s">
        <v>1597</v>
      </c>
      <c r="AH18" s="169" t="s">
        <v>1121</v>
      </c>
      <c r="AI18" s="161" t="s">
        <v>1122</v>
      </c>
      <c r="AJ18" s="161" t="s">
        <v>1599</v>
      </c>
      <c r="AK18" s="169" t="s">
        <v>32</v>
      </c>
      <c r="AL18" s="163" t="s">
        <v>1598</v>
      </c>
      <c r="AN18" s="39"/>
      <c r="AO18" s="39" t="s">
        <v>2237</v>
      </c>
      <c r="AP18" s="161" t="s">
        <v>1247</v>
      </c>
    </row>
    <row r="19" spans="1:43" s="16" customFormat="1" x14ac:dyDescent="0.25">
      <c r="A19" s="801" t="s">
        <v>1096</v>
      </c>
      <c r="B19" s="801"/>
      <c r="C19" s="802"/>
      <c r="D19" s="35"/>
      <c r="E19" s="18"/>
      <c r="G19" s="20"/>
      <c r="H19" s="29"/>
      <c r="I19" s="29"/>
      <c r="J19" s="29"/>
      <c r="K19" s="29"/>
      <c r="L19" s="133"/>
      <c r="M19" s="691"/>
      <c r="N19" s="19"/>
      <c r="O19" s="77"/>
      <c r="P19" s="620"/>
      <c r="Q19" s="621"/>
      <c r="R19" s="621"/>
      <c r="S19" s="617"/>
      <c r="T19" s="44"/>
      <c r="U19" s="17"/>
      <c r="V19" s="17"/>
      <c r="W19" s="45"/>
      <c r="X19" s="44"/>
      <c r="Y19" s="17"/>
      <c r="Z19" s="17"/>
      <c r="AA19" s="45"/>
      <c r="AB19" s="44"/>
      <c r="AC19" s="17"/>
      <c r="AD19" s="17"/>
      <c r="AE19" s="45"/>
      <c r="AF19" s="46"/>
      <c r="AG19" s="48"/>
      <c r="AH19" s="48"/>
      <c r="AI19" s="48"/>
      <c r="AJ19" s="48"/>
      <c r="AL19" s="48"/>
      <c r="AN19" s="48"/>
      <c r="AO19" s="48"/>
      <c r="AP19" s="48"/>
      <c r="AQ19" s="48"/>
    </row>
    <row r="20" spans="1:43" s="16" customFormat="1" x14ac:dyDescent="0.25">
      <c r="A20" s="16" t="s">
        <v>152</v>
      </c>
      <c r="B20" s="143"/>
      <c r="C20" s="24" t="s">
        <v>131</v>
      </c>
      <c r="D20" s="20"/>
      <c r="E20" s="21" t="s">
        <v>1331</v>
      </c>
      <c r="F20" s="16" t="s">
        <v>14</v>
      </c>
      <c r="G20" s="20" t="s">
        <v>1507</v>
      </c>
      <c r="H20" s="31" t="s">
        <v>153</v>
      </c>
      <c r="I20" s="140"/>
      <c r="J20" s="140"/>
      <c r="K20" s="31" t="s">
        <v>360</v>
      </c>
      <c r="L20" s="300" t="s">
        <v>326</v>
      </c>
      <c r="M20" s="691">
        <v>19.989999999999998</v>
      </c>
      <c r="N20" s="19">
        <v>1</v>
      </c>
      <c r="O20" s="77">
        <v>30</v>
      </c>
      <c r="P20" s="620">
        <f>CONVERT(181,"g","lbm")</f>
        <v>0.39903669455462842</v>
      </c>
      <c r="Q20" s="621">
        <v>2</v>
      </c>
      <c r="R20" s="621">
        <v>2</v>
      </c>
      <c r="S20" s="622" t="s">
        <v>1631</v>
      </c>
      <c r="T20" s="134">
        <v>0.5</v>
      </c>
      <c r="U20" s="135">
        <v>7.125</v>
      </c>
      <c r="V20" s="35">
        <v>2.5</v>
      </c>
      <c r="W20" s="72">
        <v>8</v>
      </c>
      <c r="X20" s="46" t="s">
        <v>66</v>
      </c>
      <c r="Y20" s="35" t="s">
        <v>66</v>
      </c>
      <c r="Z20" s="35" t="s">
        <v>66</v>
      </c>
      <c r="AA20" s="72" t="s">
        <v>66</v>
      </c>
      <c r="AB20" s="604">
        <v>17</v>
      </c>
      <c r="AC20" s="605">
        <v>20</v>
      </c>
      <c r="AD20" s="605">
        <v>15</v>
      </c>
      <c r="AE20" s="606">
        <v>9</v>
      </c>
      <c r="AF20" s="46">
        <f t="shared" ref="AF20:AF30" si="2">AC20*AD20*AE20/(12^3)</f>
        <v>1.5625</v>
      </c>
      <c r="AG20" s="161" t="s">
        <v>1106</v>
      </c>
      <c r="AH20" s="161" t="s">
        <v>1107</v>
      </c>
      <c r="AI20" s="161" t="s">
        <v>1108</v>
      </c>
      <c r="AJ20" s="161" t="s">
        <v>1109</v>
      </c>
      <c r="AK20" s="161" t="s">
        <v>1110</v>
      </c>
      <c r="AL20" s="161" t="s">
        <v>1111</v>
      </c>
      <c r="AM20" s="161" t="s">
        <v>1325</v>
      </c>
      <c r="AN20" s="161"/>
      <c r="AO20" s="161" t="s">
        <v>1112</v>
      </c>
      <c r="AP20" s="48" t="s">
        <v>107</v>
      </c>
      <c r="AQ20" s="161" t="s">
        <v>1247</v>
      </c>
    </row>
    <row r="21" spans="1:43" s="16" customFormat="1" x14ac:dyDescent="0.25">
      <c r="A21" s="16" t="s">
        <v>152</v>
      </c>
      <c r="B21" s="143"/>
      <c r="C21" s="24" t="s">
        <v>132</v>
      </c>
      <c r="E21" s="21" t="s">
        <v>1331</v>
      </c>
      <c r="F21" s="16" t="s">
        <v>15</v>
      </c>
      <c r="G21" s="20" t="s">
        <v>1507</v>
      </c>
      <c r="H21" s="31" t="s">
        <v>159</v>
      </c>
      <c r="I21" s="140"/>
      <c r="J21" s="140"/>
      <c r="K21" s="31" t="s">
        <v>360</v>
      </c>
      <c r="L21" s="300" t="s">
        <v>326</v>
      </c>
      <c r="M21" s="691">
        <v>32.99</v>
      </c>
      <c r="N21" s="19">
        <v>1</v>
      </c>
      <c r="O21" s="77">
        <v>30</v>
      </c>
      <c r="P21" s="620">
        <f>CONVERT(249,"g","lbm")</f>
        <v>0.54895103284034519</v>
      </c>
      <c r="Q21" s="621">
        <v>2</v>
      </c>
      <c r="R21" s="621">
        <v>2</v>
      </c>
      <c r="S21" s="622" t="s">
        <v>1631</v>
      </c>
      <c r="T21" s="134">
        <v>0.65</v>
      </c>
      <c r="U21" s="135">
        <v>7.125</v>
      </c>
      <c r="V21" s="35">
        <v>2.5</v>
      </c>
      <c r="W21" s="72">
        <v>8</v>
      </c>
      <c r="X21" s="46" t="s">
        <v>66</v>
      </c>
      <c r="Y21" s="35" t="s">
        <v>66</v>
      </c>
      <c r="Z21" s="35" t="s">
        <v>66</v>
      </c>
      <c r="AA21" s="72" t="s">
        <v>66</v>
      </c>
      <c r="AB21" s="604">
        <v>21</v>
      </c>
      <c r="AC21" s="605">
        <v>20</v>
      </c>
      <c r="AD21" s="605">
        <v>15</v>
      </c>
      <c r="AE21" s="606">
        <v>9</v>
      </c>
      <c r="AF21" s="46">
        <f t="shared" si="2"/>
        <v>1.5625</v>
      </c>
      <c r="AG21" s="161" t="s">
        <v>1106</v>
      </c>
      <c r="AH21" s="161" t="s">
        <v>1113</v>
      </c>
      <c r="AI21" s="161" t="s">
        <v>1108</v>
      </c>
      <c r="AJ21" s="161" t="s">
        <v>1109</v>
      </c>
      <c r="AK21" s="161" t="s">
        <v>1110</v>
      </c>
      <c r="AL21" s="161" t="s">
        <v>1111</v>
      </c>
      <c r="AM21" s="161" t="s">
        <v>1326</v>
      </c>
      <c r="AN21" s="161"/>
      <c r="AO21" s="161" t="s">
        <v>1112</v>
      </c>
      <c r="AP21" s="48" t="s">
        <v>107</v>
      </c>
      <c r="AQ21" s="161" t="s">
        <v>1247</v>
      </c>
    </row>
    <row r="22" spans="1:43" s="16" customFormat="1" x14ac:dyDescent="0.25">
      <c r="A22" s="16" t="s">
        <v>152</v>
      </c>
      <c r="B22" s="143"/>
      <c r="C22" s="24" t="s">
        <v>653</v>
      </c>
      <c r="D22" s="16" t="s">
        <v>87</v>
      </c>
      <c r="E22" s="21" t="s">
        <v>1331</v>
      </c>
      <c r="F22" s="16" t="s">
        <v>54</v>
      </c>
      <c r="G22" s="20" t="s">
        <v>1507</v>
      </c>
      <c r="H22" s="31" t="s">
        <v>154</v>
      </c>
      <c r="I22" s="140"/>
      <c r="J22" s="140"/>
      <c r="K22" s="31" t="s">
        <v>360</v>
      </c>
      <c r="L22" s="300" t="s">
        <v>326</v>
      </c>
      <c r="M22" s="691">
        <v>24.99</v>
      </c>
      <c r="N22" s="19">
        <v>1</v>
      </c>
      <c r="O22" s="77">
        <v>30</v>
      </c>
      <c r="P22" s="620">
        <f t="shared" ref="P22:P30" si="3">CONVERT(181,"g","lbm")</f>
        <v>0.39903669455462842</v>
      </c>
      <c r="Q22" s="621">
        <v>2</v>
      </c>
      <c r="R22" s="621">
        <v>2</v>
      </c>
      <c r="S22" s="622" t="s">
        <v>1631</v>
      </c>
      <c r="T22" s="134">
        <v>0.5</v>
      </c>
      <c r="U22" s="135">
        <v>7.125</v>
      </c>
      <c r="V22" s="35">
        <v>2.5</v>
      </c>
      <c r="W22" s="72">
        <v>8</v>
      </c>
      <c r="X22" s="46" t="s">
        <v>66</v>
      </c>
      <c r="Y22" s="35" t="s">
        <v>66</v>
      </c>
      <c r="Z22" s="35" t="s">
        <v>66</v>
      </c>
      <c r="AA22" s="72" t="s">
        <v>66</v>
      </c>
      <c r="AB22" s="604">
        <v>17</v>
      </c>
      <c r="AC22" s="605">
        <v>20</v>
      </c>
      <c r="AD22" s="605">
        <v>15</v>
      </c>
      <c r="AE22" s="606">
        <v>9</v>
      </c>
      <c r="AF22" s="46">
        <f t="shared" si="2"/>
        <v>1.5625</v>
      </c>
      <c r="AG22" s="161" t="s">
        <v>1106</v>
      </c>
      <c r="AH22" s="161" t="s">
        <v>1107</v>
      </c>
      <c r="AI22" s="161" t="s">
        <v>1108</v>
      </c>
      <c r="AJ22" s="161" t="s">
        <v>1109</v>
      </c>
      <c r="AK22" s="161" t="s">
        <v>1110</v>
      </c>
      <c r="AL22" s="161" t="s">
        <v>1111</v>
      </c>
      <c r="AM22" s="161" t="s">
        <v>1325</v>
      </c>
      <c r="AN22" s="161"/>
      <c r="AO22" s="161" t="s">
        <v>1112</v>
      </c>
      <c r="AP22" s="48" t="s">
        <v>107</v>
      </c>
      <c r="AQ22" s="161" t="s">
        <v>1247</v>
      </c>
    </row>
    <row r="23" spans="1:43" s="16" customFormat="1" x14ac:dyDescent="0.25">
      <c r="A23" s="16" t="s">
        <v>152</v>
      </c>
      <c r="B23" s="143"/>
      <c r="C23" s="24" t="s">
        <v>653</v>
      </c>
      <c r="D23" s="16" t="s">
        <v>89</v>
      </c>
      <c r="E23" s="21" t="s">
        <v>1331</v>
      </c>
      <c r="F23" s="16" t="s">
        <v>50</v>
      </c>
      <c r="G23" s="20" t="s">
        <v>1507</v>
      </c>
      <c r="H23" s="31" t="s">
        <v>155</v>
      </c>
      <c r="I23" s="140"/>
      <c r="J23" s="140"/>
      <c r="K23" s="31" t="s">
        <v>360</v>
      </c>
      <c r="L23" s="300" t="s">
        <v>326</v>
      </c>
      <c r="M23" s="691">
        <v>24.99</v>
      </c>
      <c r="N23" s="19">
        <v>1</v>
      </c>
      <c r="O23" s="77">
        <v>30</v>
      </c>
      <c r="P23" s="620">
        <f t="shared" si="3"/>
        <v>0.39903669455462842</v>
      </c>
      <c r="Q23" s="621">
        <v>2</v>
      </c>
      <c r="R23" s="621">
        <v>2</v>
      </c>
      <c r="S23" s="622" t="s">
        <v>1631</v>
      </c>
      <c r="T23" s="134">
        <v>0.5</v>
      </c>
      <c r="U23" s="135">
        <v>7.125</v>
      </c>
      <c r="V23" s="35">
        <v>2.5</v>
      </c>
      <c r="W23" s="72">
        <v>8</v>
      </c>
      <c r="X23" s="46" t="s">
        <v>66</v>
      </c>
      <c r="Y23" s="35" t="s">
        <v>66</v>
      </c>
      <c r="Z23" s="35" t="s">
        <v>66</v>
      </c>
      <c r="AA23" s="72" t="s">
        <v>66</v>
      </c>
      <c r="AB23" s="604">
        <v>17</v>
      </c>
      <c r="AC23" s="605">
        <v>20</v>
      </c>
      <c r="AD23" s="605">
        <v>15</v>
      </c>
      <c r="AE23" s="606">
        <v>9</v>
      </c>
      <c r="AF23" s="46">
        <f t="shared" si="2"/>
        <v>1.5625</v>
      </c>
      <c r="AG23" s="161" t="s">
        <v>1106</v>
      </c>
      <c r="AH23" s="161" t="s">
        <v>1107</v>
      </c>
      <c r="AI23" s="161" t="s">
        <v>1108</v>
      </c>
      <c r="AJ23" s="161" t="s">
        <v>1109</v>
      </c>
      <c r="AK23" s="161" t="s">
        <v>1110</v>
      </c>
      <c r="AL23" s="161" t="s">
        <v>1111</v>
      </c>
      <c r="AM23" s="161" t="s">
        <v>1325</v>
      </c>
      <c r="AN23" s="161"/>
      <c r="AO23" s="161" t="s">
        <v>1112</v>
      </c>
      <c r="AP23" s="48" t="s">
        <v>107</v>
      </c>
      <c r="AQ23" s="161" t="s">
        <v>1247</v>
      </c>
    </row>
    <row r="24" spans="1:43" s="16" customFormat="1" x14ac:dyDescent="0.25">
      <c r="A24" s="16" t="s">
        <v>152</v>
      </c>
      <c r="B24" s="143"/>
      <c r="C24" s="21" t="s">
        <v>653</v>
      </c>
      <c r="D24" s="410" t="s">
        <v>88</v>
      </c>
      <c r="E24" s="21" t="s">
        <v>1331</v>
      </c>
      <c r="F24" s="16" t="s">
        <v>49</v>
      </c>
      <c r="G24" s="20" t="s">
        <v>1507</v>
      </c>
      <c r="H24" s="31" t="s">
        <v>156</v>
      </c>
      <c r="I24" s="140"/>
      <c r="J24" s="140"/>
      <c r="K24" s="31" t="s">
        <v>360</v>
      </c>
      <c r="L24" s="300" t="s">
        <v>326</v>
      </c>
      <c r="M24" s="691">
        <v>24.99</v>
      </c>
      <c r="N24" s="19">
        <v>1</v>
      </c>
      <c r="O24" s="77">
        <v>30</v>
      </c>
      <c r="P24" s="620">
        <f t="shared" si="3"/>
        <v>0.39903669455462842</v>
      </c>
      <c r="Q24" s="621">
        <v>2</v>
      </c>
      <c r="R24" s="621">
        <v>2</v>
      </c>
      <c r="S24" s="622" t="s">
        <v>1631</v>
      </c>
      <c r="T24" s="134">
        <v>0.5</v>
      </c>
      <c r="U24" s="135">
        <v>7.125</v>
      </c>
      <c r="V24" s="35">
        <v>2.5</v>
      </c>
      <c r="W24" s="72">
        <v>8</v>
      </c>
      <c r="X24" s="46" t="s">
        <v>66</v>
      </c>
      <c r="Y24" s="35" t="s">
        <v>66</v>
      </c>
      <c r="Z24" s="35" t="s">
        <v>66</v>
      </c>
      <c r="AA24" s="72" t="s">
        <v>66</v>
      </c>
      <c r="AB24" s="604">
        <v>17</v>
      </c>
      <c r="AC24" s="605">
        <v>20</v>
      </c>
      <c r="AD24" s="605">
        <v>15</v>
      </c>
      <c r="AE24" s="606">
        <v>9</v>
      </c>
      <c r="AF24" s="46">
        <f t="shared" si="2"/>
        <v>1.5625</v>
      </c>
      <c r="AG24" s="161" t="s">
        <v>1106</v>
      </c>
      <c r="AH24" s="161" t="s">
        <v>1107</v>
      </c>
      <c r="AI24" s="161" t="s">
        <v>1108</v>
      </c>
      <c r="AJ24" s="161" t="s">
        <v>1109</v>
      </c>
      <c r="AK24" s="161" t="s">
        <v>1110</v>
      </c>
      <c r="AL24" s="161" t="s">
        <v>1111</v>
      </c>
      <c r="AM24" s="161" t="s">
        <v>1325</v>
      </c>
      <c r="AN24" s="161"/>
      <c r="AO24" s="161" t="s">
        <v>1112</v>
      </c>
      <c r="AP24" s="48" t="s">
        <v>107</v>
      </c>
      <c r="AQ24" s="161" t="s">
        <v>1247</v>
      </c>
    </row>
    <row r="25" spans="1:43" s="16" customFormat="1" x14ac:dyDescent="0.25">
      <c r="A25" s="16" t="s">
        <v>152</v>
      </c>
      <c r="B25" s="143"/>
      <c r="C25" s="21" t="s">
        <v>653</v>
      </c>
      <c r="D25" s="410" t="s">
        <v>95</v>
      </c>
      <c r="E25" s="21" t="s">
        <v>1331</v>
      </c>
      <c r="F25" s="16" t="s">
        <v>111</v>
      </c>
      <c r="G25" s="20" t="s">
        <v>1507</v>
      </c>
      <c r="H25" s="31" t="s">
        <v>157</v>
      </c>
      <c r="I25" s="140"/>
      <c r="J25" s="140"/>
      <c r="K25" s="31" t="s">
        <v>360</v>
      </c>
      <c r="L25" s="300" t="s">
        <v>326</v>
      </c>
      <c r="M25" s="691">
        <v>24.99</v>
      </c>
      <c r="N25" s="19">
        <v>1</v>
      </c>
      <c r="O25" s="77">
        <v>30</v>
      </c>
      <c r="P25" s="620">
        <f t="shared" si="3"/>
        <v>0.39903669455462842</v>
      </c>
      <c r="Q25" s="621">
        <v>2</v>
      </c>
      <c r="R25" s="621">
        <v>2</v>
      </c>
      <c r="S25" s="622" t="s">
        <v>1631</v>
      </c>
      <c r="T25" s="134">
        <v>0.5</v>
      </c>
      <c r="U25" s="135">
        <v>7.125</v>
      </c>
      <c r="V25" s="35">
        <v>2.5</v>
      </c>
      <c r="W25" s="72">
        <v>8</v>
      </c>
      <c r="X25" s="46" t="s">
        <v>66</v>
      </c>
      <c r="Y25" s="35" t="s">
        <v>66</v>
      </c>
      <c r="Z25" s="35" t="s">
        <v>66</v>
      </c>
      <c r="AA25" s="72" t="s">
        <v>66</v>
      </c>
      <c r="AB25" s="604">
        <v>17</v>
      </c>
      <c r="AC25" s="605">
        <v>20</v>
      </c>
      <c r="AD25" s="605">
        <v>15</v>
      </c>
      <c r="AE25" s="606">
        <v>9</v>
      </c>
      <c r="AF25" s="46">
        <f t="shared" si="2"/>
        <v>1.5625</v>
      </c>
      <c r="AG25" s="161" t="s">
        <v>1106</v>
      </c>
      <c r="AH25" s="161" t="s">
        <v>1107</v>
      </c>
      <c r="AI25" s="161" t="s">
        <v>1108</v>
      </c>
      <c r="AJ25" s="161" t="s">
        <v>1109</v>
      </c>
      <c r="AK25" s="161" t="s">
        <v>1110</v>
      </c>
      <c r="AL25" s="161" t="s">
        <v>1111</v>
      </c>
      <c r="AM25" s="161" t="s">
        <v>1325</v>
      </c>
      <c r="AN25" s="161"/>
      <c r="AO25" s="161" t="s">
        <v>1112</v>
      </c>
      <c r="AP25" s="48" t="s">
        <v>107</v>
      </c>
      <c r="AQ25" s="161" t="s">
        <v>1247</v>
      </c>
    </row>
    <row r="26" spans="1:43" s="16" customFormat="1" x14ac:dyDescent="0.25">
      <c r="A26" s="16" t="s">
        <v>152</v>
      </c>
      <c r="B26" s="143"/>
      <c r="C26" s="24" t="s">
        <v>653</v>
      </c>
      <c r="D26" s="16" t="s">
        <v>90</v>
      </c>
      <c r="E26" s="21" t="s">
        <v>1331</v>
      </c>
      <c r="F26" s="16" t="s">
        <v>110</v>
      </c>
      <c r="G26" s="20" t="s">
        <v>1507</v>
      </c>
      <c r="H26" s="31" t="s">
        <v>158</v>
      </c>
      <c r="I26" s="140"/>
      <c r="J26" s="140"/>
      <c r="K26" s="31" t="s">
        <v>360</v>
      </c>
      <c r="L26" s="300" t="s">
        <v>326</v>
      </c>
      <c r="M26" s="691">
        <v>24.99</v>
      </c>
      <c r="N26" s="19">
        <v>1</v>
      </c>
      <c r="O26" s="77">
        <v>30</v>
      </c>
      <c r="P26" s="620">
        <f t="shared" si="3"/>
        <v>0.39903669455462842</v>
      </c>
      <c r="Q26" s="621">
        <v>2</v>
      </c>
      <c r="R26" s="621">
        <v>2</v>
      </c>
      <c r="S26" s="622" t="s">
        <v>1631</v>
      </c>
      <c r="T26" s="134">
        <v>0.5</v>
      </c>
      <c r="U26" s="135">
        <v>7.125</v>
      </c>
      <c r="V26" s="35">
        <v>2.5</v>
      </c>
      <c r="W26" s="72">
        <v>8</v>
      </c>
      <c r="X26" s="46" t="s">
        <v>66</v>
      </c>
      <c r="Y26" s="35" t="s">
        <v>66</v>
      </c>
      <c r="Z26" s="35" t="s">
        <v>66</v>
      </c>
      <c r="AA26" s="72" t="s">
        <v>66</v>
      </c>
      <c r="AB26" s="604">
        <v>17</v>
      </c>
      <c r="AC26" s="605">
        <v>20</v>
      </c>
      <c r="AD26" s="605">
        <v>15</v>
      </c>
      <c r="AE26" s="606">
        <v>9</v>
      </c>
      <c r="AF26" s="46">
        <f t="shared" si="2"/>
        <v>1.5625</v>
      </c>
      <c r="AG26" s="161" t="s">
        <v>1106</v>
      </c>
      <c r="AH26" s="161" t="s">
        <v>1107</v>
      </c>
      <c r="AI26" s="161" t="s">
        <v>1108</v>
      </c>
      <c r="AJ26" s="161" t="s">
        <v>1109</v>
      </c>
      <c r="AK26" s="161" t="s">
        <v>1110</v>
      </c>
      <c r="AL26" s="161" t="s">
        <v>1111</v>
      </c>
      <c r="AM26" s="161" t="s">
        <v>1325</v>
      </c>
      <c r="AN26" s="161"/>
      <c r="AO26" s="161" t="s">
        <v>1112</v>
      </c>
      <c r="AP26" s="48" t="s">
        <v>107</v>
      </c>
      <c r="AQ26" s="161" t="s">
        <v>1247</v>
      </c>
    </row>
    <row r="27" spans="1:43" s="16" customFormat="1" x14ac:dyDescent="0.25">
      <c r="A27" s="16" t="s">
        <v>152</v>
      </c>
      <c r="B27" s="143"/>
      <c r="C27" s="24" t="s">
        <v>654</v>
      </c>
      <c r="D27" s="20" t="s">
        <v>87</v>
      </c>
      <c r="E27" s="21" t="s">
        <v>1331</v>
      </c>
      <c r="F27" s="16" t="s">
        <v>1100</v>
      </c>
      <c r="G27" s="20" t="s">
        <v>1507</v>
      </c>
      <c r="H27" s="31" t="s">
        <v>290</v>
      </c>
      <c r="I27" s="30" t="s">
        <v>2645</v>
      </c>
      <c r="J27" s="30" t="s">
        <v>2646</v>
      </c>
      <c r="K27" s="31" t="s">
        <v>360</v>
      </c>
      <c r="L27" s="133" t="s">
        <v>325</v>
      </c>
      <c r="M27" s="691">
        <v>19.989999999999998</v>
      </c>
      <c r="N27" s="19">
        <v>6</v>
      </c>
      <c r="O27" s="77">
        <v>24</v>
      </c>
      <c r="P27" s="620">
        <f t="shared" si="3"/>
        <v>0.39903669455462842</v>
      </c>
      <c r="Q27" s="621">
        <v>2</v>
      </c>
      <c r="R27" s="621">
        <v>2</v>
      </c>
      <c r="S27" s="622" t="s">
        <v>1631</v>
      </c>
      <c r="T27" s="604">
        <v>0.5</v>
      </c>
      <c r="U27" s="605">
        <v>7.125</v>
      </c>
      <c r="V27" s="605">
        <v>2.5</v>
      </c>
      <c r="W27" s="606">
        <v>8</v>
      </c>
      <c r="X27" s="604">
        <v>3.2</v>
      </c>
      <c r="Y27" s="605">
        <v>8</v>
      </c>
      <c r="Z27" s="605">
        <v>8.5</v>
      </c>
      <c r="AA27" s="606">
        <v>8.5</v>
      </c>
      <c r="AB27" s="604">
        <v>14.125</v>
      </c>
      <c r="AC27" s="605">
        <v>16</v>
      </c>
      <c r="AD27" s="605">
        <v>17.5</v>
      </c>
      <c r="AE27" s="606">
        <v>9</v>
      </c>
      <c r="AF27" s="46">
        <f t="shared" si="2"/>
        <v>1.4583333333333333</v>
      </c>
      <c r="AG27" s="161" t="s">
        <v>1106</v>
      </c>
      <c r="AH27" s="161" t="s">
        <v>1107</v>
      </c>
      <c r="AI27" s="161" t="s">
        <v>1108</v>
      </c>
      <c r="AJ27" s="161" t="s">
        <v>1109</v>
      </c>
      <c r="AK27" s="161" t="s">
        <v>1110</v>
      </c>
      <c r="AL27" s="161" t="s">
        <v>1111</v>
      </c>
      <c r="AM27" s="161" t="s">
        <v>1325</v>
      </c>
      <c r="AN27" s="161"/>
      <c r="AO27" s="161" t="s">
        <v>1112</v>
      </c>
      <c r="AP27" s="161" t="s">
        <v>1247</v>
      </c>
      <c r="AQ27" s="159"/>
    </row>
    <row r="28" spans="1:43" s="16" customFormat="1" x14ac:dyDescent="0.25">
      <c r="A28" s="16" t="s">
        <v>152</v>
      </c>
      <c r="B28" s="143"/>
      <c r="C28" s="24" t="s">
        <v>654</v>
      </c>
      <c r="D28" s="20" t="s">
        <v>89</v>
      </c>
      <c r="E28" s="21" t="s">
        <v>1331</v>
      </c>
      <c r="F28" s="16" t="s">
        <v>1101</v>
      </c>
      <c r="G28" s="20" t="s">
        <v>1507</v>
      </c>
      <c r="H28" s="31" t="s">
        <v>291</v>
      </c>
      <c r="I28" s="30" t="s">
        <v>2643</v>
      </c>
      <c r="J28" s="30" t="s">
        <v>2644</v>
      </c>
      <c r="K28" s="31" t="s">
        <v>360</v>
      </c>
      <c r="L28" s="133" t="s">
        <v>325</v>
      </c>
      <c r="M28" s="691">
        <v>19.989999999999998</v>
      </c>
      <c r="N28" s="19">
        <v>6</v>
      </c>
      <c r="O28" s="77">
        <v>24</v>
      </c>
      <c r="P28" s="620">
        <f t="shared" si="3"/>
        <v>0.39903669455462842</v>
      </c>
      <c r="Q28" s="621">
        <v>2</v>
      </c>
      <c r="R28" s="621">
        <v>2</v>
      </c>
      <c r="S28" s="622" t="s">
        <v>1631</v>
      </c>
      <c r="T28" s="604">
        <v>0.5</v>
      </c>
      <c r="U28" s="605">
        <v>7.125</v>
      </c>
      <c r="V28" s="605">
        <v>2.5</v>
      </c>
      <c r="W28" s="606">
        <v>8</v>
      </c>
      <c r="X28" s="604">
        <v>3.2</v>
      </c>
      <c r="Y28" s="605">
        <v>8</v>
      </c>
      <c r="Z28" s="605">
        <v>8.5</v>
      </c>
      <c r="AA28" s="606">
        <v>8.5</v>
      </c>
      <c r="AB28" s="604">
        <v>14.125</v>
      </c>
      <c r="AC28" s="605">
        <v>16</v>
      </c>
      <c r="AD28" s="605">
        <v>17.5</v>
      </c>
      <c r="AE28" s="606">
        <v>9</v>
      </c>
      <c r="AF28" s="46">
        <f t="shared" si="2"/>
        <v>1.4583333333333333</v>
      </c>
      <c r="AG28" s="161" t="s">
        <v>1106</v>
      </c>
      <c r="AH28" s="161" t="s">
        <v>1107</v>
      </c>
      <c r="AI28" s="161" t="s">
        <v>1108</v>
      </c>
      <c r="AJ28" s="161" t="s">
        <v>1109</v>
      </c>
      <c r="AK28" s="161" t="s">
        <v>1110</v>
      </c>
      <c r="AL28" s="161" t="s">
        <v>1111</v>
      </c>
      <c r="AM28" s="161" t="s">
        <v>1325</v>
      </c>
      <c r="AN28" s="161"/>
      <c r="AO28" s="161" t="s">
        <v>1112</v>
      </c>
      <c r="AP28" s="161" t="s">
        <v>1247</v>
      </c>
      <c r="AQ28" s="159"/>
    </row>
    <row r="29" spans="1:43" s="16" customFormat="1" x14ac:dyDescent="0.25">
      <c r="A29" s="16" t="s">
        <v>152</v>
      </c>
      <c r="B29" s="143"/>
      <c r="C29" s="24" t="s">
        <v>654</v>
      </c>
      <c r="D29" s="20" t="s">
        <v>95</v>
      </c>
      <c r="E29" s="21" t="s">
        <v>1331</v>
      </c>
      <c r="F29" s="16" t="s">
        <v>1102</v>
      </c>
      <c r="G29" s="20" t="s">
        <v>1507</v>
      </c>
      <c r="H29" s="31" t="s">
        <v>313</v>
      </c>
      <c r="I29" s="30" t="s">
        <v>2641</v>
      </c>
      <c r="J29" s="30" t="s">
        <v>2642</v>
      </c>
      <c r="K29" s="31" t="s">
        <v>360</v>
      </c>
      <c r="L29" s="133" t="s">
        <v>325</v>
      </c>
      <c r="M29" s="691">
        <v>19.989999999999998</v>
      </c>
      <c r="N29" s="19">
        <v>6</v>
      </c>
      <c r="O29" s="77">
        <v>24</v>
      </c>
      <c r="P29" s="620">
        <f t="shared" si="3"/>
        <v>0.39903669455462842</v>
      </c>
      <c r="Q29" s="621">
        <v>2</v>
      </c>
      <c r="R29" s="621">
        <v>2</v>
      </c>
      <c r="S29" s="622" t="s">
        <v>1631</v>
      </c>
      <c r="T29" s="604">
        <v>0.5</v>
      </c>
      <c r="U29" s="605">
        <v>7.125</v>
      </c>
      <c r="V29" s="605">
        <v>2.5</v>
      </c>
      <c r="W29" s="606">
        <v>8</v>
      </c>
      <c r="X29" s="604">
        <v>3.2</v>
      </c>
      <c r="Y29" s="605">
        <v>8</v>
      </c>
      <c r="Z29" s="605">
        <v>8.5</v>
      </c>
      <c r="AA29" s="606">
        <v>8.5</v>
      </c>
      <c r="AB29" s="604">
        <v>14.125</v>
      </c>
      <c r="AC29" s="605">
        <v>16</v>
      </c>
      <c r="AD29" s="605">
        <v>17.5</v>
      </c>
      <c r="AE29" s="606">
        <v>9</v>
      </c>
      <c r="AF29" s="46">
        <f t="shared" si="2"/>
        <v>1.4583333333333333</v>
      </c>
      <c r="AG29" s="161" t="s">
        <v>1106</v>
      </c>
      <c r="AH29" s="161" t="s">
        <v>1107</v>
      </c>
      <c r="AI29" s="161" t="s">
        <v>1108</v>
      </c>
      <c r="AJ29" s="161" t="s">
        <v>1109</v>
      </c>
      <c r="AK29" s="161" t="s">
        <v>1110</v>
      </c>
      <c r="AL29" s="161" t="s">
        <v>1111</v>
      </c>
      <c r="AM29" s="161" t="s">
        <v>1325</v>
      </c>
      <c r="AN29" s="161"/>
      <c r="AO29" s="161" t="s">
        <v>1112</v>
      </c>
      <c r="AP29" s="161" t="s">
        <v>1247</v>
      </c>
      <c r="AQ29" s="159"/>
    </row>
    <row r="30" spans="1:43" ht="13.8" x14ac:dyDescent="0.3">
      <c r="A30" s="20" t="s">
        <v>152</v>
      </c>
      <c r="B30" s="366"/>
      <c r="C30" s="26" t="s">
        <v>1470</v>
      </c>
      <c r="E30" s="21" t="s">
        <v>1471</v>
      </c>
      <c r="F30" s="22" t="s">
        <v>1234</v>
      </c>
      <c r="G30" s="20" t="s">
        <v>1518</v>
      </c>
      <c r="H30" s="30" t="s">
        <v>1559</v>
      </c>
      <c r="I30" s="30" t="s">
        <v>1560</v>
      </c>
      <c r="J30" s="30" t="s">
        <v>1561</v>
      </c>
      <c r="K30" s="31" t="s">
        <v>360</v>
      </c>
      <c r="L30" s="58" t="s">
        <v>325</v>
      </c>
      <c r="M30" s="691">
        <v>29.99</v>
      </c>
      <c r="N30" s="178">
        <v>6</v>
      </c>
      <c r="O30" s="231">
        <v>24</v>
      </c>
      <c r="P30" s="620">
        <f t="shared" si="3"/>
        <v>0.39903669455462842</v>
      </c>
      <c r="Q30" s="621">
        <v>2</v>
      </c>
      <c r="R30" s="621">
        <v>2</v>
      </c>
      <c r="S30" s="622" t="s">
        <v>1631</v>
      </c>
      <c r="T30" s="510">
        <v>0.5</v>
      </c>
      <c r="U30" s="178">
        <v>2.1</v>
      </c>
      <c r="V30" s="39">
        <v>2.1</v>
      </c>
      <c r="W30" s="279">
        <v>6.2</v>
      </c>
      <c r="X30" s="510"/>
      <c r="Y30" s="178"/>
      <c r="Z30" s="178"/>
      <c r="AA30" s="231"/>
      <c r="AB30" s="510"/>
      <c r="AC30" s="178"/>
      <c r="AD30" s="178"/>
      <c r="AE30" s="231"/>
      <c r="AF30" s="46">
        <f t="shared" si="2"/>
        <v>0</v>
      </c>
      <c r="AG30" s="161" t="s">
        <v>1106</v>
      </c>
      <c r="AH30" s="161" t="s">
        <v>1107</v>
      </c>
      <c r="AI30" s="161" t="s">
        <v>1108</v>
      </c>
      <c r="AJ30" s="161" t="s">
        <v>1109</v>
      </c>
      <c r="AK30" s="161" t="s">
        <v>1110</v>
      </c>
      <c r="AL30" s="161" t="s">
        <v>1111</v>
      </c>
      <c r="AM30" s="161" t="s">
        <v>1325</v>
      </c>
      <c r="AN30" s="161"/>
      <c r="AO30" s="161" t="s">
        <v>1112</v>
      </c>
      <c r="AP30" s="161" t="s">
        <v>1247</v>
      </c>
    </row>
    <row r="31" spans="1:43" s="16" customFormat="1" x14ac:dyDescent="0.25">
      <c r="A31" s="801" t="s">
        <v>1226</v>
      </c>
      <c r="B31" s="801"/>
      <c r="C31" s="802"/>
      <c r="D31" s="17"/>
      <c r="E31" s="18"/>
      <c r="G31" s="20"/>
      <c r="H31" s="29"/>
      <c r="I31" s="29"/>
      <c r="J31" s="29"/>
      <c r="K31" s="29"/>
      <c r="L31" s="133"/>
      <c r="M31" s="691"/>
      <c r="N31" s="19"/>
      <c r="O31" s="77"/>
      <c r="P31" s="620"/>
      <c r="Q31" s="621"/>
      <c r="R31" s="621"/>
      <c r="S31" s="617"/>
      <c r="T31" s="44"/>
      <c r="U31" s="17"/>
      <c r="V31" s="17"/>
      <c r="W31" s="45"/>
      <c r="X31" s="44"/>
      <c r="Y31" s="17"/>
      <c r="Z31" s="17"/>
      <c r="AA31" s="45"/>
      <c r="AB31" s="44"/>
      <c r="AC31" s="17"/>
      <c r="AD31" s="17"/>
      <c r="AE31" s="45"/>
      <c r="AF31" s="46"/>
      <c r="AG31" s="48"/>
      <c r="AH31" s="48"/>
      <c r="AI31" s="48"/>
      <c r="AJ31" s="48"/>
      <c r="AK31" s="48"/>
      <c r="AL31" s="48"/>
      <c r="AM31" s="48"/>
      <c r="AN31" s="48"/>
      <c r="AO31" s="48"/>
      <c r="AP31" s="48"/>
      <c r="AQ31" s="48"/>
    </row>
    <row r="32" spans="1:43" s="16" customFormat="1" x14ac:dyDescent="0.25">
      <c r="A32" s="16" t="s">
        <v>152</v>
      </c>
      <c r="B32" s="141"/>
      <c r="C32" s="21" t="s">
        <v>1227</v>
      </c>
      <c r="E32" s="21" t="s">
        <v>1332</v>
      </c>
      <c r="G32" s="20" t="s">
        <v>1488</v>
      </c>
      <c r="H32" s="31" t="s">
        <v>1228</v>
      </c>
      <c r="I32" s="30" t="s">
        <v>66</v>
      </c>
      <c r="J32" s="30" t="s">
        <v>66</v>
      </c>
      <c r="K32" s="31" t="s">
        <v>360</v>
      </c>
      <c r="L32" s="300" t="s">
        <v>326</v>
      </c>
      <c r="M32" s="691">
        <v>49.99</v>
      </c>
      <c r="N32" s="19">
        <v>6</v>
      </c>
      <c r="O32" s="77">
        <v>12</v>
      </c>
      <c r="P32" s="620">
        <f>6.8/16</f>
        <v>0.42499999999999999</v>
      </c>
      <c r="Q32" s="621">
        <v>2</v>
      </c>
      <c r="R32" s="621">
        <v>2</v>
      </c>
      <c r="S32" s="622" t="s">
        <v>1631</v>
      </c>
      <c r="T32" s="46">
        <v>0.7</v>
      </c>
      <c r="U32" s="35">
        <v>4.25</v>
      </c>
      <c r="V32" s="35">
        <v>3.25</v>
      </c>
      <c r="W32" s="72">
        <v>5.625</v>
      </c>
      <c r="X32" s="46" t="s">
        <v>66</v>
      </c>
      <c r="Y32" s="35" t="s">
        <v>66</v>
      </c>
      <c r="Z32" s="35" t="s">
        <v>66</v>
      </c>
      <c r="AA32" s="72" t="s">
        <v>66</v>
      </c>
      <c r="AB32" s="46" t="s">
        <v>66</v>
      </c>
      <c r="AC32" s="35" t="s">
        <v>66</v>
      </c>
      <c r="AD32" s="35" t="s">
        <v>66</v>
      </c>
      <c r="AE32" s="72" t="s">
        <v>66</v>
      </c>
      <c r="AF32" s="46"/>
      <c r="AG32" s="20" t="s">
        <v>1327</v>
      </c>
      <c r="AH32" s="169" t="s">
        <v>1106</v>
      </c>
      <c r="AI32" s="169" t="s">
        <v>1457</v>
      </c>
      <c r="AJ32" s="169" t="s">
        <v>1458</v>
      </c>
      <c r="AK32" s="169" t="s">
        <v>1109</v>
      </c>
      <c r="AL32" s="169" t="s">
        <v>1110</v>
      </c>
      <c r="AM32" s="169" t="s">
        <v>1111</v>
      </c>
      <c r="AN32" s="169" t="s">
        <v>1677</v>
      </c>
      <c r="AO32" s="169" t="s">
        <v>1459</v>
      </c>
      <c r="AP32" s="48" t="s">
        <v>107</v>
      </c>
      <c r="AQ32" s="161" t="s">
        <v>1247</v>
      </c>
    </row>
    <row r="33" spans="1:43" s="16" customFormat="1" x14ac:dyDescent="0.25">
      <c r="A33" s="798" t="s">
        <v>1098</v>
      </c>
      <c r="B33" s="798"/>
      <c r="C33" s="798"/>
      <c r="E33" s="21"/>
      <c r="G33" s="20"/>
      <c r="H33" s="31"/>
      <c r="I33" s="31"/>
      <c r="J33" s="31"/>
      <c r="K33" s="31"/>
      <c r="L33" s="300"/>
      <c r="M33" s="691"/>
      <c r="N33" s="19"/>
      <c r="O33" s="77"/>
      <c r="P33" s="620"/>
      <c r="Q33" s="621"/>
      <c r="R33" s="621"/>
      <c r="S33" s="617"/>
      <c r="T33" s="44"/>
      <c r="U33" s="17"/>
      <c r="V33" s="17"/>
      <c r="W33" s="45"/>
      <c r="X33" s="44"/>
      <c r="Y33" s="17"/>
      <c r="Z33" s="17"/>
      <c r="AA33" s="45"/>
      <c r="AB33" s="44"/>
      <c r="AC33" s="17"/>
      <c r="AD33" s="17"/>
      <c r="AE33" s="45"/>
      <c r="AF33" s="46"/>
      <c r="AG33" s="161"/>
      <c r="AH33" s="161"/>
      <c r="AI33" s="161"/>
      <c r="AJ33" s="161"/>
      <c r="AK33" s="161"/>
      <c r="AL33" s="161"/>
      <c r="AM33" s="48"/>
      <c r="AN33" s="159"/>
      <c r="AO33" s="48"/>
      <c r="AP33" s="48"/>
      <c r="AQ33" s="48"/>
    </row>
    <row r="34" spans="1:43" s="16" customFormat="1" x14ac:dyDescent="0.25">
      <c r="A34" s="16" t="s">
        <v>152</v>
      </c>
      <c r="B34" s="143"/>
      <c r="C34" s="24" t="s">
        <v>652</v>
      </c>
      <c r="D34" s="20" t="s">
        <v>87</v>
      </c>
      <c r="E34" s="21" t="s">
        <v>1333</v>
      </c>
      <c r="F34" s="16" t="s">
        <v>1100</v>
      </c>
      <c r="G34" s="20" t="s">
        <v>1518</v>
      </c>
      <c r="H34" s="31" t="s">
        <v>320</v>
      </c>
      <c r="I34" s="30" t="s">
        <v>2256</v>
      </c>
      <c r="J34" s="30" t="s">
        <v>2257</v>
      </c>
      <c r="K34" s="31" t="s">
        <v>360</v>
      </c>
      <c r="L34" s="133" t="s">
        <v>325</v>
      </c>
      <c r="M34" s="691">
        <v>26.99</v>
      </c>
      <c r="N34" s="19">
        <v>6</v>
      </c>
      <c r="O34" s="77">
        <v>24</v>
      </c>
      <c r="P34" s="620">
        <f>CONVERT(240,"g","lbm")</f>
        <v>0.52910942924370619</v>
      </c>
      <c r="Q34" s="621" t="s">
        <v>66</v>
      </c>
      <c r="R34" s="621" t="s">
        <v>66</v>
      </c>
      <c r="S34" s="623" t="s">
        <v>66</v>
      </c>
      <c r="T34" s="134">
        <f>CONVERT(265,"g","lbm")</f>
        <v>0.58422499478992562</v>
      </c>
      <c r="U34" s="605">
        <v>4.75</v>
      </c>
      <c r="V34" s="605">
        <v>2</v>
      </c>
      <c r="W34" s="606">
        <v>7.5</v>
      </c>
      <c r="X34" s="604">
        <v>4.25</v>
      </c>
      <c r="Y34" s="605">
        <v>13.25</v>
      </c>
      <c r="Z34" s="605">
        <v>5</v>
      </c>
      <c r="AA34" s="606">
        <v>8</v>
      </c>
      <c r="AB34" s="604">
        <v>18</v>
      </c>
      <c r="AC34" s="605">
        <v>13.75</v>
      </c>
      <c r="AD34" s="605">
        <v>21</v>
      </c>
      <c r="AE34" s="606">
        <v>8.75</v>
      </c>
      <c r="AF34" s="46">
        <f>AC34*AD34*AE34/(12^3)</f>
        <v>1.4621310763888888</v>
      </c>
      <c r="AG34" s="161" t="s">
        <v>1118</v>
      </c>
      <c r="AH34" s="161" t="s">
        <v>1119</v>
      </c>
      <c r="AI34" s="161" t="s">
        <v>1106</v>
      </c>
      <c r="AJ34" s="161" t="s">
        <v>1107</v>
      </c>
      <c r="AK34" s="161" t="s">
        <v>1108</v>
      </c>
      <c r="AL34" s="161" t="s">
        <v>1109</v>
      </c>
      <c r="AM34" s="161" t="s">
        <v>1110</v>
      </c>
      <c r="AN34" s="161" t="s">
        <v>1111</v>
      </c>
      <c r="AO34" s="161" t="s">
        <v>1120</v>
      </c>
      <c r="AP34" s="161" t="s">
        <v>1247</v>
      </c>
      <c r="AQ34" s="159"/>
    </row>
    <row r="35" spans="1:43" s="16" customFormat="1" x14ac:dyDescent="0.25">
      <c r="A35" s="16" t="s">
        <v>152</v>
      </c>
      <c r="B35" s="143"/>
      <c r="C35" s="24" t="s">
        <v>652</v>
      </c>
      <c r="D35" s="20" t="s">
        <v>89</v>
      </c>
      <c r="E35" s="21" t="s">
        <v>1333</v>
      </c>
      <c r="F35" s="16" t="s">
        <v>1101</v>
      </c>
      <c r="G35" s="20" t="s">
        <v>1518</v>
      </c>
      <c r="H35" s="31" t="s">
        <v>319</v>
      </c>
      <c r="I35" s="30" t="s">
        <v>2258</v>
      </c>
      <c r="J35" s="30" t="s">
        <v>2259</v>
      </c>
      <c r="K35" s="31" t="s">
        <v>360</v>
      </c>
      <c r="L35" s="133" t="s">
        <v>325</v>
      </c>
      <c r="M35" s="691">
        <v>26.99</v>
      </c>
      <c r="N35" s="19">
        <v>6</v>
      </c>
      <c r="O35" s="77">
        <v>24</v>
      </c>
      <c r="P35" s="620">
        <f>CONVERT(240,"g","lbm")</f>
        <v>0.52910942924370619</v>
      </c>
      <c r="Q35" s="621" t="s">
        <v>66</v>
      </c>
      <c r="R35" s="621" t="s">
        <v>66</v>
      </c>
      <c r="S35" s="623" t="s">
        <v>66</v>
      </c>
      <c r="T35" s="134">
        <f>CONVERT(265,"g","lbm")</f>
        <v>0.58422499478992562</v>
      </c>
      <c r="U35" s="605">
        <v>4.75</v>
      </c>
      <c r="V35" s="605">
        <v>2</v>
      </c>
      <c r="W35" s="606">
        <v>7.5</v>
      </c>
      <c r="X35" s="604">
        <v>4.25</v>
      </c>
      <c r="Y35" s="605">
        <v>13.25</v>
      </c>
      <c r="Z35" s="605">
        <v>5</v>
      </c>
      <c r="AA35" s="606">
        <v>8</v>
      </c>
      <c r="AB35" s="604">
        <v>18</v>
      </c>
      <c r="AC35" s="605">
        <v>13.75</v>
      </c>
      <c r="AD35" s="605">
        <v>21</v>
      </c>
      <c r="AE35" s="606">
        <v>8.75</v>
      </c>
      <c r="AF35" s="46">
        <f>AC35*AD35*AE35/(12^3)</f>
        <v>1.4621310763888888</v>
      </c>
      <c r="AG35" s="161" t="s">
        <v>1118</v>
      </c>
      <c r="AH35" s="161" t="s">
        <v>1119</v>
      </c>
      <c r="AI35" s="161" t="s">
        <v>1106</v>
      </c>
      <c r="AJ35" s="161" t="s">
        <v>1107</v>
      </c>
      <c r="AK35" s="161" t="s">
        <v>1108</v>
      </c>
      <c r="AL35" s="161" t="s">
        <v>1109</v>
      </c>
      <c r="AM35" s="161" t="s">
        <v>1110</v>
      </c>
      <c r="AN35" s="161" t="s">
        <v>1111</v>
      </c>
      <c r="AO35" s="161" t="s">
        <v>1120</v>
      </c>
      <c r="AP35" s="161" t="s">
        <v>1247</v>
      </c>
      <c r="AQ35" s="159"/>
    </row>
    <row r="36" spans="1:43" s="16" customFormat="1" x14ac:dyDescent="0.25">
      <c r="A36" s="16" t="s">
        <v>152</v>
      </c>
      <c r="B36" s="143"/>
      <c r="C36" s="24" t="s">
        <v>652</v>
      </c>
      <c r="D36" s="20" t="s">
        <v>95</v>
      </c>
      <c r="E36" s="21" t="s">
        <v>1333</v>
      </c>
      <c r="F36" s="16" t="s">
        <v>1102</v>
      </c>
      <c r="G36" s="20" t="s">
        <v>1518</v>
      </c>
      <c r="H36" s="31" t="s">
        <v>318</v>
      </c>
      <c r="I36" s="30" t="s">
        <v>2260</v>
      </c>
      <c r="J36" s="30" t="s">
        <v>2261</v>
      </c>
      <c r="K36" s="31" t="s">
        <v>360</v>
      </c>
      <c r="L36" s="133" t="s">
        <v>325</v>
      </c>
      <c r="M36" s="691">
        <v>26.99</v>
      </c>
      <c r="N36" s="19">
        <v>6</v>
      </c>
      <c r="O36" s="77">
        <v>24</v>
      </c>
      <c r="P36" s="620">
        <f>CONVERT(240,"g","lbm")</f>
        <v>0.52910942924370619</v>
      </c>
      <c r="Q36" s="621" t="s">
        <v>66</v>
      </c>
      <c r="R36" s="621" t="s">
        <v>66</v>
      </c>
      <c r="S36" s="623" t="s">
        <v>66</v>
      </c>
      <c r="T36" s="134">
        <f>CONVERT(265,"g","lbm")</f>
        <v>0.58422499478992562</v>
      </c>
      <c r="U36" s="605">
        <v>4.75</v>
      </c>
      <c r="V36" s="605">
        <v>2</v>
      </c>
      <c r="W36" s="606">
        <v>7.5</v>
      </c>
      <c r="X36" s="604">
        <v>4.25</v>
      </c>
      <c r="Y36" s="605">
        <v>13.25</v>
      </c>
      <c r="Z36" s="605">
        <v>5</v>
      </c>
      <c r="AA36" s="606">
        <v>8</v>
      </c>
      <c r="AB36" s="604">
        <v>18</v>
      </c>
      <c r="AC36" s="605">
        <v>13.75</v>
      </c>
      <c r="AD36" s="605">
        <v>21</v>
      </c>
      <c r="AE36" s="606">
        <v>8.75</v>
      </c>
      <c r="AF36" s="46">
        <f>AC36*AD36*AE36/(12^3)</f>
        <v>1.4621310763888888</v>
      </c>
      <c r="AG36" s="161" t="s">
        <v>1118</v>
      </c>
      <c r="AH36" s="161" t="s">
        <v>1119</v>
      </c>
      <c r="AI36" s="161" t="s">
        <v>1106</v>
      </c>
      <c r="AJ36" s="161" t="s">
        <v>1107</v>
      </c>
      <c r="AK36" s="161" t="s">
        <v>1108</v>
      </c>
      <c r="AL36" s="161" t="s">
        <v>1109</v>
      </c>
      <c r="AM36" s="161" t="s">
        <v>1110</v>
      </c>
      <c r="AN36" s="161" t="s">
        <v>1111</v>
      </c>
      <c r="AO36" s="161" t="s">
        <v>1120</v>
      </c>
      <c r="AP36" s="161" t="s">
        <v>1247</v>
      </c>
      <c r="AQ36" s="159"/>
    </row>
    <row r="37" spans="1:43" s="16" customFormat="1" x14ac:dyDescent="0.25">
      <c r="A37" s="798" t="s">
        <v>1097</v>
      </c>
      <c r="B37" s="798"/>
      <c r="C37" s="798"/>
      <c r="D37" s="17"/>
      <c r="E37" s="18"/>
      <c r="G37" s="20"/>
      <c r="H37" s="29"/>
      <c r="I37" s="29"/>
      <c r="J37" s="29"/>
      <c r="K37" s="29"/>
      <c r="L37" s="133"/>
      <c r="M37" s="691"/>
      <c r="N37" s="19"/>
      <c r="O37" s="77"/>
      <c r="P37" s="620"/>
      <c r="Q37" s="621"/>
      <c r="R37" s="621"/>
      <c r="S37" s="617"/>
      <c r="T37" s="44"/>
      <c r="U37" s="17"/>
      <c r="V37" s="17"/>
      <c r="W37" s="45"/>
      <c r="X37" s="44"/>
      <c r="Y37" s="17"/>
      <c r="Z37" s="17"/>
      <c r="AA37" s="45"/>
      <c r="AB37" s="44"/>
      <c r="AC37" s="17"/>
      <c r="AD37" s="17"/>
      <c r="AE37" s="45"/>
      <c r="AF37" s="46"/>
      <c r="AG37" s="48"/>
      <c r="AH37" s="48"/>
      <c r="AI37" s="48"/>
      <c r="AJ37" s="48"/>
      <c r="AK37" s="48"/>
      <c r="AL37" s="48"/>
      <c r="AM37" s="48"/>
      <c r="AN37" s="48"/>
      <c r="AO37" s="48"/>
      <c r="AP37" s="48"/>
      <c r="AQ37" s="48"/>
    </row>
    <row r="38" spans="1:43" s="16" customFormat="1" x14ac:dyDescent="0.25">
      <c r="A38" s="16" t="s">
        <v>152</v>
      </c>
      <c r="B38" s="143"/>
      <c r="C38" s="24" t="s">
        <v>1114</v>
      </c>
      <c r="D38" s="20"/>
      <c r="E38" s="21" t="s">
        <v>1328</v>
      </c>
      <c r="F38" s="16" t="s">
        <v>14</v>
      </c>
      <c r="G38" s="20" t="s">
        <v>1527</v>
      </c>
      <c r="H38" s="31" t="s">
        <v>160</v>
      </c>
      <c r="I38" s="30" t="s">
        <v>66</v>
      </c>
      <c r="J38" s="30" t="s">
        <v>66</v>
      </c>
      <c r="K38" s="31" t="s">
        <v>360</v>
      </c>
      <c r="L38" s="300" t="s">
        <v>326</v>
      </c>
      <c r="M38" s="691">
        <v>29.99</v>
      </c>
      <c r="N38" s="19">
        <v>1</v>
      </c>
      <c r="O38" s="228" t="s">
        <v>66</v>
      </c>
      <c r="P38" s="620">
        <f>12.3/16</f>
        <v>0.76875000000000004</v>
      </c>
      <c r="Q38" s="621" t="s">
        <v>66</v>
      </c>
      <c r="R38" s="621" t="s">
        <v>66</v>
      </c>
      <c r="S38" s="623" t="s">
        <v>66</v>
      </c>
      <c r="T38" s="46">
        <v>0.85</v>
      </c>
      <c r="U38" s="35">
        <v>6</v>
      </c>
      <c r="V38" s="35">
        <v>3.75</v>
      </c>
      <c r="W38" s="72">
        <v>7</v>
      </c>
      <c r="X38" s="46" t="s">
        <v>66</v>
      </c>
      <c r="Y38" s="35" t="s">
        <v>66</v>
      </c>
      <c r="Z38" s="35" t="s">
        <v>66</v>
      </c>
      <c r="AA38" s="72" t="s">
        <v>66</v>
      </c>
      <c r="AB38" s="46" t="s">
        <v>66</v>
      </c>
      <c r="AC38" s="35" t="s">
        <v>66</v>
      </c>
      <c r="AD38" s="35" t="s">
        <v>66</v>
      </c>
      <c r="AE38" s="72" t="s">
        <v>66</v>
      </c>
      <c r="AF38" s="46"/>
      <c r="AG38" s="161" t="s">
        <v>1106</v>
      </c>
      <c r="AH38" s="161" t="s">
        <v>1107</v>
      </c>
      <c r="AI38" s="161" t="s">
        <v>1108</v>
      </c>
      <c r="AJ38" s="161" t="s">
        <v>1109</v>
      </c>
      <c r="AK38" s="161" t="s">
        <v>1110</v>
      </c>
      <c r="AL38" s="161" t="s">
        <v>1111</v>
      </c>
      <c r="AM38" s="161" t="s">
        <v>1116</v>
      </c>
      <c r="AN38" s="161" t="s">
        <v>1349</v>
      </c>
      <c r="AO38" s="161" t="s">
        <v>1117</v>
      </c>
      <c r="AP38" s="48" t="s">
        <v>107</v>
      </c>
      <c r="AQ38" s="161" t="s">
        <v>1247</v>
      </c>
    </row>
    <row r="39" spans="1:43" s="16" customFormat="1" x14ac:dyDescent="0.25">
      <c r="A39" s="16" t="s">
        <v>152</v>
      </c>
      <c r="B39" s="143"/>
      <c r="C39" s="24" t="s">
        <v>1115</v>
      </c>
      <c r="D39" s="20"/>
      <c r="E39" s="21" t="s">
        <v>1328</v>
      </c>
      <c r="F39" s="16" t="s">
        <v>15</v>
      </c>
      <c r="G39" s="20" t="s">
        <v>1527</v>
      </c>
      <c r="H39" s="31" t="s">
        <v>166</v>
      </c>
      <c r="I39" s="30" t="s">
        <v>66</v>
      </c>
      <c r="J39" s="30" t="s">
        <v>66</v>
      </c>
      <c r="K39" s="31" t="s">
        <v>360</v>
      </c>
      <c r="L39" s="300" t="s">
        <v>326</v>
      </c>
      <c r="M39" s="691">
        <v>36.99</v>
      </c>
      <c r="N39" s="19">
        <v>1</v>
      </c>
      <c r="O39" s="228" t="s">
        <v>66</v>
      </c>
      <c r="P39" s="620">
        <f>14.9/16</f>
        <v>0.93125000000000002</v>
      </c>
      <c r="Q39" s="621" t="s">
        <v>66</v>
      </c>
      <c r="R39" s="621" t="s">
        <v>66</v>
      </c>
      <c r="S39" s="623" t="s">
        <v>66</v>
      </c>
      <c r="T39" s="46">
        <v>0.95</v>
      </c>
      <c r="U39" s="35">
        <v>6</v>
      </c>
      <c r="V39" s="35">
        <v>3.75</v>
      </c>
      <c r="W39" s="72">
        <v>7</v>
      </c>
      <c r="X39" s="46" t="s">
        <v>66</v>
      </c>
      <c r="Y39" s="35" t="s">
        <v>66</v>
      </c>
      <c r="Z39" s="35" t="s">
        <v>66</v>
      </c>
      <c r="AA39" s="72" t="s">
        <v>66</v>
      </c>
      <c r="AB39" s="46" t="s">
        <v>66</v>
      </c>
      <c r="AC39" s="35" t="s">
        <v>66</v>
      </c>
      <c r="AD39" s="35" t="s">
        <v>66</v>
      </c>
      <c r="AE39" s="72" t="s">
        <v>66</v>
      </c>
      <c r="AF39" s="46"/>
      <c r="AG39" s="161" t="s">
        <v>1106</v>
      </c>
      <c r="AH39" s="161" t="s">
        <v>1113</v>
      </c>
      <c r="AI39" s="161" t="s">
        <v>1108</v>
      </c>
      <c r="AJ39" s="161" t="s">
        <v>1109</v>
      </c>
      <c r="AK39" s="161" t="s">
        <v>1110</v>
      </c>
      <c r="AL39" s="161" t="s">
        <v>1111</v>
      </c>
      <c r="AM39" s="161" t="s">
        <v>1116</v>
      </c>
      <c r="AN39" s="161" t="s">
        <v>1350</v>
      </c>
      <c r="AO39" s="161" t="s">
        <v>1117</v>
      </c>
      <c r="AP39" s="48" t="s">
        <v>107</v>
      </c>
      <c r="AQ39" s="161" t="s">
        <v>1247</v>
      </c>
    </row>
    <row r="40" spans="1:43" s="16" customFormat="1" x14ac:dyDescent="0.25">
      <c r="A40" s="16" t="s">
        <v>152</v>
      </c>
      <c r="B40" s="143"/>
      <c r="C40" s="24" t="s">
        <v>1083</v>
      </c>
      <c r="D40" s="16" t="s">
        <v>87</v>
      </c>
      <c r="E40" s="21" t="s">
        <v>1328</v>
      </c>
      <c r="F40" s="16" t="s">
        <v>54</v>
      </c>
      <c r="G40" s="20" t="s">
        <v>1527</v>
      </c>
      <c r="H40" s="31" t="s">
        <v>161</v>
      </c>
      <c r="I40" s="30" t="s">
        <v>66</v>
      </c>
      <c r="J40" s="30" t="s">
        <v>66</v>
      </c>
      <c r="K40" s="31" t="s">
        <v>360</v>
      </c>
      <c r="L40" s="300" t="s">
        <v>326</v>
      </c>
      <c r="M40" s="691">
        <v>29.99</v>
      </c>
      <c r="N40" s="19">
        <v>1</v>
      </c>
      <c r="O40" s="228" t="s">
        <v>66</v>
      </c>
      <c r="P40" s="620">
        <f>12.6/16</f>
        <v>0.78749999999999998</v>
      </c>
      <c r="Q40" s="621" t="s">
        <v>66</v>
      </c>
      <c r="R40" s="621" t="s">
        <v>66</v>
      </c>
      <c r="S40" s="623" t="s">
        <v>66</v>
      </c>
      <c r="T40" s="46">
        <v>0.85</v>
      </c>
      <c r="U40" s="35">
        <v>6</v>
      </c>
      <c r="V40" s="35">
        <v>3.75</v>
      </c>
      <c r="W40" s="72">
        <v>7</v>
      </c>
      <c r="X40" s="46" t="s">
        <v>66</v>
      </c>
      <c r="Y40" s="35" t="s">
        <v>66</v>
      </c>
      <c r="Z40" s="35" t="s">
        <v>66</v>
      </c>
      <c r="AA40" s="72" t="s">
        <v>66</v>
      </c>
      <c r="AB40" s="46" t="s">
        <v>66</v>
      </c>
      <c r="AC40" s="35" t="s">
        <v>66</v>
      </c>
      <c r="AD40" s="35" t="s">
        <v>66</v>
      </c>
      <c r="AE40" s="72" t="s">
        <v>66</v>
      </c>
      <c r="AF40" s="46"/>
      <c r="AG40" s="161" t="s">
        <v>1106</v>
      </c>
      <c r="AH40" s="161" t="s">
        <v>1107</v>
      </c>
      <c r="AI40" s="161" t="s">
        <v>1108</v>
      </c>
      <c r="AJ40" s="161" t="s">
        <v>1109</v>
      </c>
      <c r="AK40" s="161" t="s">
        <v>1110</v>
      </c>
      <c r="AL40" s="161" t="s">
        <v>1111</v>
      </c>
      <c r="AM40" s="161" t="s">
        <v>1116</v>
      </c>
      <c r="AN40" s="161" t="s">
        <v>1349</v>
      </c>
      <c r="AO40" s="161" t="s">
        <v>1117</v>
      </c>
      <c r="AP40" s="48" t="s">
        <v>107</v>
      </c>
      <c r="AQ40" s="161" t="s">
        <v>1247</v>
      </c>
    </row>
    <row r="41" spans="1:43" s="16" customFormat="1" x14ac:dyDescent="0.25">
      <c r="A41" s="16" t="s">
        <v>152</v>
      </c>
      <c r="B41" s="143"/>
      <c r="C41" s="24" t="s">
        <v>1083</v>
      </c>
      <c r="D41" s="16" t="s">
        <v>89</v>
      </c>
      <c r="E41" s="21" t="s">
        <v>1328</v>
      </c>
      <c r="F41" s="16" t="s">
        <v>50</v>
      </c>
      <c r="G41" s="20" t="s">
        <v>1527</v>
      </c>
      <c r="H41" s="31" t="s">
        <v>162</v>
      </c>
      <c r="I41" s="30" t="s">
        <v>66</v>
      </c>
      <c r="J41" s="30" t="s">
        <v>66</v>
      </c>
      <c r="K41" s="31" t="s">
        <v>360</v>
      </c>
      <c r="L41" s="300" t="s">
        <v>326</v>
      </c>
      <c r="M41" s="691">
        <v>29.99</v>
      </c>
      <c r="N41" s="19">
        <v>1</v>
      </c>
      <c r="O41" s="228" t="s">
        <v>66</v>
      </c>
      <c r="P41" s="620">
        <f>12.6/16</f>
        <v>0.78749999999999998</v>
      </c>
      <c r="Q41" s="621" t="s">
        <v>66</v>
      </c>
      <c r="R41" s="621" t="s">
        <v>66</v>
      </c>
      <c r="S41" s="623" t="s">
        <v>66</v>
      </c>
      <c r="T41" s="46">
        <v>0.85</v>
      </c>
      <c r="U41" s="35">
        <v>6</v>
      </c>
      <c r="V41" s="35">
        <v>3.75</v>
      </c>
      <c r="W41" s="72">
        <v>7</v>
      </c>
      <c r="X41" s="46" t="s">
        <v>66</v>
      </c>
      <c r="Y41" s="35" t="s">
        <v>66</v>
      </c>
      <c r="Z41" s="35" t="s">
        <v>66</v>
      </c>
      <c r="AA41" s="72" t="s">
        <v>66</v>
      </c>
      <c r="AB41" s="46" t="s">
        <v>66</v>
      </c>
      <c r="AC41" s="35" t="s">
        <v>66</v>
      </c>
      <c r="AD41" s="35" t="s">
        <v>66</v>
      </c>
      <c r="AE41" s="72" t="s">
        <v>66</v>
      </c>
      <c r="AF41" s="46"/>
      <c r="AG41" s="161" t="s">
        <v>1106</v>
      </c>
      <c r="AH41" s="161" t="s">
        <v>1107</v>
      </c>
      <c r="AI41" s="161" t="s">
        <v>1108</v>
      </c>
      <c r="AJ41" s="161" t="s">
        <v>1109</v>
      </c>
      <c r="AK41" s="161" t="s">
        <v>1110</v>
      </c>
      <c r="AL41" s="161" t="s">
        <v>1111</v>
      </c>
      <c r="AM41" s="161" t="s">
        <v>1116</v>
      </c>
      <c r="AN41" s="161" t="s">
        <v>1349</v>
      </c>
      <c r="AO41" s="161" t="s">
        <v>1117</v>
      </c>
      <c r="AP41" s="48" t="s">
        <v>107</v>
      </c>
      <c r="AQ41" s="161" t="s">
        <v>1247</v>
      </c>
    </row>
    <row r="42" spans="1:43" s="16" customFormat="1" x14ac:dyDescent="0.25">
      <c r="A42" s="16" t="s">
        <v>152</v>
      </c>
      <c r="B42" s="143"/>
      <c r="C42" s="24" t="s">
        <v>1083</v>
      </c>
      <c r="D42" s="16" t="s">
        <v>88</v>
      </c>
      <c r="E42" s="21" t="s">
        <v>1328</v>
      </c>
      <c r="F42" s="16" t="s">
        <v>49</v>
      </c>
      <c r="G42" s="20" t="s">
        <v>1527</v>
      </c>
      <c r="H42" s="31" t="s">
        <v>163</v>
      </c>
      <c r="I42" s="30" t="s">
        <v>66</v>
      </c>
      <c r="J42" s="30" t="s">
        <v>66</v>
      </c>
      <c r="K42" s="31" t="s">
        <v>360</v>
      </c>
      <c r="L42" s="300" t="s">
        <v>326</v>
      </c>
      <c r="M42" s="691">
        <v>29.99</v>
      </c>
      <c r="N42" s="19">
        <v>1</v>
      </c>
      <c r="O42" s="228" t="s">
        <v>66</v>
      </c>
      <c r="P42" s="620">
        <f>12.6/16</f>
        <v>0.78749999999999998</v>
      </c>
      <c r="Q42" s="621" t="s">
        <v>66</v>
      </c>
      <c r="R42" s="621" t="s">
        <v>66</v>
      </c>
      <c r="S42" s="623" t="s">
        <v>66</v>
      </c>
      <c r="T42" s="46">
        <v>0.85</v>
      </c>
      <c r="U42" s="35">
        <v>6</v>
      </c>
      <c r="V42" s="35">
        <v>3.75</v>
      </c>
      <c r="W42" s="72">
        <v>7</v>
      </c>
      <c r="X42" s="46" t="s">
        <v>66</v>
      </c>
      <c r="Y42" s="35" t="s">
        <v>66</v>
      </c>
      <c r="Z42" s="35" t="s">
        <v>66</v>
      </c>
      <c r="AA42" s="72" t="s">
        <v>66</v>
      </c>
      <c r="AB42" s="46" t="s">
        <v>66</v>
      </c>
      <c r="AC42" s="35" t="s">
        <v>66</v>
      </c>
      <c r="AD42" s="35" t="s">
        <v>66</v>
      </c>
      <c r="AE42" s="72" t="s">
        <v>66</v>
      </c>
      <c r="AF42" s="46"/>
      <c r="AG42" s="161" t="s">
        <v>1106</v>
      </c>
      <c r="AH42" s="161" t="s">
        <v>1107</v>
      </c>
      <c r="AI42" s="161" t="s">
        <v>1108</v>
      </c>
      <c r="AJ42" s="161" t="s">
        <v>1109</v>
      </c>
      <c r="AK42" s="161" t="s">
        <v>1110</v>
      </c>
      <c r="AL42" s="161" t="s">
        <v>1111</v>
      </c>
      <c r="AM42" s="161" t="s">
        <v>1116</v>
      </c>
      <c r="AN42" s="161" t="s">
        <v>1349</v>
      </c>
      <c r="AO42" s="161" t="s">
        <v>1117</v>
      </c>
      <c r="AP42" s="48" t="s">
        <v>107</v>
      </c>
      <c r="AQ42" s="161" t="s">
        <v>1247</v>
      </c>
    </row>
    <row r="43" spans="1:43" s="16" customFormat="1" x14ac:dyDescent="0.25">
      <c r="A43" s="16" t="s">
        <v>152</v>
      </c>
      <c r="B43" s="143"/>
      <c r="C43" s="24" t="s">
        <v>1083</v>
      </c>
      <c r="D43" s="16" t="s">
        <v>95</v>
      </c>
      <c r="E43" s="21" t="s">
        <v>1328</v>
      </c>
      <c r="F43" s="16" t="s">
        <v>111</v>
      </c>
      <c r="G43" s="20" t="s">
        <v>1527</v>
      </c>
      <c r="H43" s="31" t="s">
        <v>164</v>
      </c>
      <c r="I43" s="30" t="s">
        <v>66</v>
      </c>
      <c r="J43" s="30" t="s">
        <v>66</v>
      </c>
      <c r="K43" s="31" t="s">
        <v>360</v>
      </c>
      <c r="L43" s="300" t="s">
        <v>326</v>
      </c>
      <c r="M43" s="691">
        <v>29.99</v>
      </c>
      <c r="N43" s="19">
        <v>1</v>
      </c>
      <c r="O43" s="228" t="s">
        <v>66</v>
      </c>
      <c r="P43" s="620">
        <f>12.6/16</f>
        <v>0.78749999999999998</v>
      </c>
      <c r="Q43" s="621" t="s">
        <v>66</v>
      </c>
      <c r="R43" s="621" t="s">
        <v>66</v>
      </c>
      <c r="S43" s="623" t="s">
        <v>66</v>
      </c>
      <c r="T43" s="46">
        <v>0.85</v>
      </c>
      <c r="U43" s="35">
        <v>6</v>
      </c>
      <c r="V43" s="35">
        <v>3.75</v>
      </c>
      <c r="W43" s="72">
        <v>7</v>
      </c>
      <c r="X43" s="46" t="s">
        <v>66</v>
      </c>
      <c r="Y43" s="35" t="s">
        <v>66</v>
      </c>
      <c r="Z43" s="35" t="s">
        <v>66</v>
      </c>
      <c r="AA43" s="72" t="s">
        <v>66</v>
      </c>
      <c r="AB43" s="46" t="s">
        <v>66</v>
      </c>
      <c r="AC43" s="35" t="s">
        <v>66</v>
      </c>
      <c r="AD43" s="35" t="s">
        <v>66</v>
      </c>
      <c r="AE43" s="72" t="s">
        <v>66</v>
      </c>
      <c r="AF43" s="46"/>
      <c r="AG43" s="161" t="s">
        <v>1106</v>
      </c>
      <c r="AH43" s="161" t="s">
        <v>1107</v>
      </c>
      <c r="AI43" s="161" t="s">
        <v>1108</v>
      </c>
      <c r="AJ43" s="161" t="s">
        <v>1109</v>
      </c>
      <c r="AK43" s="161" t="s">
        <v>1110</v>
      </c>
      <c r="AL43" s="161" t="s">
        <v>1111</v>
      </c>
      <c r="AM43" s="161" t="s">
        <v>1116</v>
      </c>
      <c r="AN43" s="161" t="s">
        <v>1349</v>
      </c>
      <c r="AO43" s="161" t="s">
        <v>1117</v>
      </c>
      <c r="AP43" s="48" t="s">
        <v>107</v>
      </c>
      <c r="AQ43" s="161" t="s">
        <v>1247</v>
      </c>
    </row>
    <row r="44" spans="1:43" s="16" customFormat="1" x14ac:dyDescent="0.25">
      <c r="A44" s="16" t="s">
        <v>152</v>
      </c>
      <c r="B44" s="143"/>
      <c r="C44" s="24" t="s">
        <v>1083</v>
      </c>
      <c r="D44" s="16" t="s">
        <v>90</v>
      </c>
      <c r="E44" s="21" t="s">
        <v>1328</v>
      </c>
      <c r="F44" s="16" t="s">
        <v>110</v>
      </c>
      <c r="G44" s="20" t="s">
        <v>1527</v>
      </c>
      <c r="H44" s="31" t="s">
        <v>165</v>
      </c>
      <c r="I44" s="30" t="s">
        <v>66</v>
      </c>
      <c r="J44" s="30" t="s">
        <v>66</v>
      </c>
      <c r="K44" s="31" t="s">
        <v>360</v>
      </c>
      <c r="L44" s="300" t="s">
        <v>326</v>
      </c>
      <c r="M44" s="691">
        <v>29.99</v>
      </c>
      <c r="N44" s="19">
        <v>1</v>
      </c>
      <c r="O44" s="228" t="s">
        <v>66</v>
      </c>
      <c r="P44" s="620">
        <f>12.6/16</f>
        <v>0.78749999999999998</v>
      </c>
      <c r="Q44" s="621" t="s">
        <v>66</v>
      </c>
      <c r="R44" s="621" t="s">
        <v>66</v>
      </c>
      <c r="S44" s="623" t="s">
        <v>66</v>
      </c>
      <c r="T44" s="46">
        <v>0.85</v>
      </c>
      <c r="U44" s="35">
        <v>6</v>
      </c>
      <c r="V44" s="35">
        <v>3.75</v>
      </c>
      <c r="W44" s="72">
        <v>7</v>
      </c>
      <c r="X44" s="46" t="s">
        <v>66</v>
      </c>
      <c r="Y44" s="35" t="s">
        <v>66</v>
      </c>
      <c r="Z44" s="35" t="s">
        <v>66</v>
      </c>
      <c r="AA44" s="72" t="s">
        <v>66</v>
      </c>
      <c r="AB44" s="46" t="s">
        <v>66</v>
      </c>
      <c r="AC44" s="35" t="s">
        <v>66</v>
      </c>
      <c r="AD44" s="35" t="s">
        <v>66</v>
      </c>
      <c r="AE44" s="72" t="s">
        <v>66</v>
      </c>
      <c r="AF44" s="46"/>
      <c r="AG44" s="161" t="s">
        <v>1106</v>
      </c>
      <c r="AH44" s="161" t="s">
        <v>1107</v>
      </c>
      <c r="AI44" s="161" t="s">
        <v>1108</v>
      </c>
      <c r="AJ44" s="161" t="s">
        <v>1109</v>
      </c>
      <c r="AK44" s="161" t="s">
        <v>1110</v>
      </c>
      <c r="AL44" s="161" t="s">
        <v>1111</v>
      </c>
      <c r="AM44" s="161" t="s">
        <v>1116</v>
      </c>
      <c r="AN44" s="161" t="s">
        <v>1349</v>
      </c>
      <c r="AO44" s="161" t="s">
        <v>1117</v>
      </c>
      <c r="AP44" s="48" t="s">
        <v>107</v>
      </c>
      <c r="AQ44" s="161" t="s">
        <v>1247</v>
      </c>
    </row>
    <row r="45" spans="1:43" s="16" customFormat="1" x14ac:dyDescent="0.25">
      <c r="A45" s="798" t="s">
        <v>1099</v>
      </c>
      <c r="B45" s="798"/>
      <c r="C45" s="798"/>
      <c r="D45" s="17"/>
      <c r="E45" s="18"/>
      <c r="G45" s="20"/>
      <c r="H45" s="29"/>
      <c r="I45" s="29"/>
      <c r="J45" s="29"/>
      <c r="K45" s="29"/>
      <c r="L45" s="133"/>
      <c r="M45" s="691"/>
      <c r="N45" s="19"/>
      <c r="O45" s="77"/>
      <c r="P45" s="620"/>
      <c r="Q45" s="621"/>
      <c r="R45" s="621"/>
      <c r="S45" s="617"/>
      <c r="T45" s="44"/>
      <c r="U45" s="17"/>
      <c r="V45" s="17"/>
      <c r="W45" s="45"/>
      <c r="X45" s="44"/>
      <c r="Y45" s="17"/>
      <c r="Z45" s="17"/>
      <c r="AA45" s="45"/>
      <c r="AB45" s="44"/>
      <c r="AC45" s="17"/>
      <c r="AD45" s="17"/>
      <c r="AE45" s="45"/>
      <c r="AF45" s="46"/>
      <c r="AG45" s="48"/>
      <c r="AH45" s="48"/>
      <c r="AI45" s="48"/>
      <c r="AJ45" s="48"/>
      <c r="AK45" s="48"/>
      <c r="AL45" s="48"/>
      <c r="AM45" s="48"/>
      <c r="AN45" s="48"/>
      <c r="AO45" s="48"/>
      <c r="AP45" s="48"/>
      <c r="AQ45" s="48"/>
    </row>
    <row r="46" spans="1:43" s="16" customFormat="1" x14ac:dyDescent="0.25">
      <c r="A46" s="16" t="s">
        <v>152</v>
      </c>
      <c r="B46" s="143"/>
      <c r="C46" s="24" t="s">
        <v>134</v>
      </c>
      <c r="E46" s="21" t="s">
        <v>1334</v>
      </c>
      <c r="F46" s="16" t="s">
        <v>14</v>
      </c>
      <c r="G46" s="20" t="s">
        <v>1507</v>
      </c>
      <c r="H46" s="31" t="s">
        <v>173</v>
      </c>
      <c r="I46" s="30" t="s">
        <v>66</v>
      </c>
      <c r="J46" s="30" t="s">
        <v>66</v>
      </c>
      <c r="K46" s="31" t="s">
        <v>360</v>
      </c>
      <c r="L46" s="300" t="s">
        <v>326</v>
      </c>
      <c r="M46" s="691">
        <v>24.99</v>
      </c>
      <c r="N46" s="19">
        <v>1</v>
      </c>
      <c r="O46" s="228" t="s">
        <v>66</v>
      </c>
      <c r="P46" s="620">
        <f>CONVERT(201,"g","lbm")</f>
        <v>0.44312914699160394</v>
      </c>
      <c r="Q46" s="621">
        <v>2</v>
      </c>
      <c r="R46" s="621">
        <v>2</v>
      </c>
      <c r="S46" s="622" t="s">
        <v>1632</v>
      </c>
      <c r="T46" s="134">
        <f>CONVERT(220,"g","lbm")</f>
        <v>0.48501697680673067</v>
      </c>
      <c r="U46" s="605">
        <v>7</v>
      </c>
      <c r="V46" s="605">
        <v>2.25</v>
      </c>
      <c r="W46" s="606">
        <v>8</v>
      </c>
      <c r="X46" s="46" t="s">
        <v>66</v>
      </c>
      <c r="Y46" s="35" t="s">
        <v>66</v>
      </c>
      <c r="Z46" s="35" t="s">
        <v>66</v>
      </c>
      <c r="AA46" s="72" t="s">
        <v>66</v>
      </c>
      <c r="AB46" s="46" t="s">
        <v>66</v>
      </c>
      <c r="AC46" s="35" t="s">
        <v>66</v>
      </c>
      <c r="AD46" s="35" t="s">
        <v>66</v>
      </c>
      <c r="AE46" s="72" t="s">
        <v>66</v>
      </c>
      <c r="AF46" s="46"/>
      <c r="AG46" s="161" t="s">
        <v>1452</v>
      </c>
      <c r="AH46" s="161" t="s">
        <v>1124</v>
      </c>
      <c r="AI46" s="161" t="s">
        <v>1125</v>
      </c>
      <c r="AJ46" s="161" t="s">
        <v>1107</v>
      </c>
      <c r="AK46" s="161" t="s">
        <v>1108</v>
      </c>
      <c r="AL46" s="161" t="s">
        <v>1109</v>
      </c>
      <c r="AM46" s="161" t="s">
        <v>1110</v>
      </c>
      <c r="AN46" s="161" t="s">
        <v>1111</v>
      </c>
      <c r="AO46" s="161" t="s">
        <v>1126</v>
      </c>
      <c r="AP46" s="48" t="s">
        <v>107</v>
      </c>
      <c r="AQ46" s="161" t="s">
        <v>1247</v>
      </c>
    </row>
    <row r="47" spans="1:43" s="16" customFormat="1" x14ac:dyDescent="0.25">
      <c r="A47" s="801" t="s">
        <v>119</v>
      </c>
      <c r="B47" s="801"/>
      <c r="C47" s="802"/>
      <c r="D47" s="17"/>
      <c r="E47" s="18"/>
      <c r="G47" s="20"/>
      <c r="H47" s="29"/>
      <c r="I47" s="29"/>
      <c r="J47" s="29"/>
      <c r="K47" s="29"/>
      <c r="L47" s="133"/>
      <c r="M47" s="691"/>
      <c r="N47" s="19"/>
      <c r="O47" s="77"/>
      <c r="P47" s="620"/>
      <c r="Q47" s="621"/>
      <c r="R47" s="621"/>
      <c r="S47" s="617"/>
      <c r="T47" s="44"/>
      <c r="U47" s="17"/>
      <c r="V47" s="17"/>
      <c r="W47" s="45"/>
      <c r="X47" s="44"/>
      <c r="Y47" s="17"/>
      <c r="Z47" s="17"/>
      <c r="AA47" s="45"/>
      <c r="AB47" s="44"/>
      <c r="AC47" s="17"/>
      <c r="AD47" s="17"/>
      <c r="AE47" s="45"/>
      <c r="AF47" s="46"/>
      <c r="AG47" s="48"/>
      <c r="AH47" s="48"/>
      <c r="AI47" s="48"/>
      <c r="AJ47" s="48"/>
      <c r="AK47" s="48"/>
      <c r="AL47" s="48"/>
      <c r="AM47" s="48"/>
      <c r="AN47" s="48"/>
      <c r="AO47" s="48"/>
      <c r="AP47" s="48"/>
      <c r="AQ47" s="48"/>
    </row>
    <row r="48" spans="1:43" s="16" customFormat="1" x14ac:dyDescent="0.25">
      <c r="A48" s="16" t="s">
        <v>152</v>
      </c>
      <c r="B48" s="143"/>
      <c r="C48" s="24" t="s">
        <v>135</v>
      </c>
      <c r="D48" s="20"/>
      <c r="E48" s="21" t="s">
        <v>1335</v>
      </c>
      <c r="F48" s="16" t="s">
        <v>14</v>
      </c>
      <c r="G48" s="20" t="s">
        <v>1518</v>
      </c>
      <c r="H48" s="31" t="s">
        <v>175</v>
      </c>
      <c r="I48" s="30" t="s">
        <v>66</v>
      </c>
      <c r="J48" s="30" t="s">
        <v>66</v>
      </c>
      <c r="K48" s="31" t="s">
        <v>360</v>
      </c>
      <c r="L48" s="300" t="s">
        <v>326</v>
      </c>
      <c r="M48" s="691">
        <v>39.99</v>
      </c>
      <c r="N48" s="19">
        <v>1</v>
      </c>
      <c r="O48" s="228" t="s">
        <v>66</v>
      </c>
      <c r="P48" s="620">
        <f t="shared" ref="P48:P53" si="4">CONVERT(510,"g","lbm")</f>
        <v>1.1243575371428756</v>
      </c>
      <c r="Q48" s="621">
        <v>4</v>
      </c>
      <c r="R48" s="621">
        <v>4</v>
      </c>
      <c r="S48" s="623">
        <v>8</v>
      </c>
      <c r="T48" s="46">
        <v>1.4</v>
      </c>
      <c r="U48" s="35">
        <v>4.25</v>
      </c>
      <c r="V48" s="35">
        <v>4.25</v>
      </c>
      <c r="W48" s="72">
        <v>9.5</v>
      </c>
      <c r="X48" s="46" t="s">
        <v>66</v>
      </c>
      <c r="Y48" s="35" t="s">
        <v>66</v>
      </c>
      <c r="Z48" s="35" t="s">
        <v>66</v>
      </c>
      <c r="AA48" s="72" t="s">
        <v>66</v>
      </c>
      <c r="AB48" s="46" t="s">
        <v>66</v>
      </c>
      <c r="AC48" s="35" t="s">
        <v>66</v>
      </c>
      <c r="AD48" s="35" t="s">
        <v>66</v>
      </c>
      <c r="AE48" s="72" t="s">
        <v>66</v>
      </c>
      <c r="AF48" s="46"/>
      <c r="AG48" s="161" t="s">
        <v>1131</v>
      </c>
      <c r="AH48" s="161" t="s">
        <v>1107</v>
      </c>
      <c r="AI48" s="161" t="s">
        <v>1132</v>
      </c>
      <c r="AJ48" s="161" t="s">
        <v>1133</v>
      </c>
      <c r="AK48" s="161" t="s">
        <v>1134</v>
      </c>
      <c r="AL48" s="161" t="s">
        <v>1111</v>
      </c>
      <c r="AM48" s="161" t="s">
        <v>1351</v>
      </c>
      <c r="AN48" s="161"/>
      <c r="AO48" s="161" t="s">
        <v>1135</v>
      </c>
      <c r="AP48" s="48" t="s">
        <v>107</v>
      </c>
      <c r="AQ48" s="161" t="s">
        <v>1247</v>
      </c>
    </row>
    <row r="49" spans="1:43" s="16" customFormat="1" x14ac:dyDescent="0.25">
      <c r="A49" s="16" t="s">
        <v>152</v>
      </c>
      <c r="B49" s="143"/>
      <c r="C49" s="24" t="s">
        <v>656</v>
      </c>
      <c r="D49" s="16" t="s">
        <v>87</v>
      </c>
      <c r="E49" s="21" t="s">
        <v>1335</v>
      </c>
      <c r="F49" s="16" t="s">
        <v>54</v>
      </c>
      <c r="G49" s="20" t="s">
        <v>1518</v>
      </c>
      <c r="H49" s="31" t="s">
        <v>176</v>
      </c>
      <c r="I49" s="30" t="s">
        <v>66</v>
      </c>
      <c r="J49" s="30" t="s">
        <v>66</v>
      </c>
      <c r="K49" s="31" t="s">
        <v>360</v>
      </c>
      <c r="L49" s="300" t="s">
        <v>326</v>
      </c>
      <c r="M49" s="691">
        <v>39.99</v>
      </c>
      <c r="N49" s="19">
        <v>1</v>
      </c>
      <c r="O49" s="228" t="s">
        <v>66</v>
      </c>
      <c r="P49" s="620">
        <f t="shared" si="4"/>
        <v>1.1243575371428756</v>
      </c>
      <c r="Q49" s="621">
        <v>4</v>
      </c>
      <c r="R49" s="621">
        <v>4</v>
      </c>
      <c r="S49" s="623">
        <v>8</v>
      </c>
      <c r="T49" s="46">
        <v>1.4</v>
      </c>
      <c r="U49" s="35">
        <v>4.25</v>
      </c>
      <c r="V49" s="35">
        <v>4.25</v>
      </c>
      <c r="W49" s="72">
        <v>9.5</v>
      </c>
      <c r="X49" s="46" t="s">
        <v>66</v>
      </c>
      <c r="Y49" s="35" t="s">
        <v>66</v>
      </c>
      <c r="Z49" s="35" t="s">
        <v>66</v>
      </c>
      <c r="AA49" s="72" t="s">
        <v>66</v>
      </c>
      <c r="AB49" s="46" t="s">
        <v>66</v>
      </c>
      <c r="AC49" s="35" t="s">
        <v>66</v>
      </c>
      <c r="AD49" s="35" t="s">
        <v>66</v>
      </c>
      <c r="AE49" s="72" t="s">
        <v>66</v>
      </c>
      <c r="AF49" s="46"/>
      <c r="AG49" s="161" t="s">
        <v>1131</v>
      </c>
      <c r="AH49" s="161" t="s">
        <v>1107</v>
      </c>
      <c r="AI49" s="161" t="s">
        <v>1132</v>
      </c>
      <c r="AJ49" s="161" t="s">
        <v>1133</v>
      </c>
      <c r="AK49" s="161" t="s">
        <v>1134</v>
      </c>
      <c r="AL49" s="161" t="s">
        <v>1111</v>
      </c>
      <c r="AM49" s="161" t="s">
        <v>1351</v>
      </c>
      <c r="AN49" s="161"/>
      <c r="AO49" s="161" t="s">
        <v>1135</v>
      </c>
      <c r="AP49" s="48" t="s">
        <v>107</v>
      </c>
      <c r="AQ49" s="161" t="s">
        <v>1247</v>
      </c>
    </row>
    <row r="50" spans="1:43" s="16" customFormat="1" x14ac:dyDescent="0.25">
      <c r="A50" s="16" t="s">
        <v>152</v>
      </c>
      <c r="B50" s="143"/>
      <c r="C50" s="24" t="s">
        <v>656</v>
      </c>
      <c r="D50" s="16" t="s">
        <v>89</v>
      </c>
      <c r="E50" s="21" t="s">
        <v>1335</v>
      </c>
      <c r="F50" s="16" t="s">
        <v>50</v>
      </c>
      <c r="G50" s="20" t="s">
        <v>1518</v>
      </c>
      <c r="H50" s="31" t="s">
        <v>177</v>
      </c>
      <c r="I50" s="30" t="s">
        <v>66</v>
      </c>
      <c r="J50" s="30" t="s">
        <v>66</v>
      </c>
      <c r="K50" s="31" t="s">
        <v>360</v>
      </c>
      <c r="L50" s="300" t="s">
        <v>326</v>
      </c>
      <c r="M50" s="691">
        <v>39.99</v>
      </c>
      <c r="N50" s="19">
        <v>1</v>
      </c>
      <c r="O50" s="228" t="s">
        <v>66</v>
      </c>
      <c r="P50" s="620">
        <f t="shared" si="4"/>
        <v>1.1243575371428756</v>
      </c>
      <c r="Q50" s="621">
        <v>4</v>
      </c>
      <c r="R50" s="621">
        <v>4</v>
      </c>
      <c r="S50" s="623">
        <v>8</v>
      </c>
      <c r="T50" s="46">
        <v>1.4</v>
      </c>
      <c r="U50" s="35">
        <v>4.25</v>
      </c>
      <c r="V50" s="35">
        <v>4.25</v>
      </c>
      <c r="W50" s="72">
        <v>9.5</v>
      </c>
      <c r="X50" s="46" t="s">
        <v>66</v>
      </c>
      <c r="Y50" s="35" t="s">
        <v>66</v>
      </c>
      <c r="Z50" s="35" t="s">
        <v>66</v>
      </c>
      <c r="AA50" s="72" t="s">
        <v>66</v>
      </c>
      <c r="AB50" s="46" t="s">
        <v>66</v>
      </c>
      <c r="AC50" s="35" t="s">
        <v>66</v>
      </c>
      <c r="AD50" s="35" t="s">
        <v>66</v>
      </c>
      <c r="AE50" s="72" t="s">
        <v>66</v>
      </c>
      <c r="AF50" s="46"/>
      <c r="AG50" s="161" t="s">
        <v>1131</v>
      </c>
      <c r="AH50" s="161" t="s">
        <v>1107</v>
      </c>
      <c r="AI50" s="161" t="s">
        <v>1132</v>
      </c>
      <c r="AJ50" s="161" t="s">
        <v>1133</v>
      </c>
      <c r="AK50" s="161" t="s">
        <v>1134</v>
      </c>
      <c r="AL50" s="161" t="s">
        <v>1111</v>
      </c>
      <c r="AM50" s="161" t="s">
        <v>1351</v>
      </c>
      <c r="AN50" s="161"/>
      <c r="AO50" s="161" t="s">
        <v>1135</v>
      </c>
      <c r="AP50" s="48" t="s">
        <v>107</v>
      </c>
      <c r="AQ50" s="161" t="s">
        <v>1247</v>
      </c>
    </row>
    <row r="51" spans="1:43" s="410" customFormat="1" x14ac:dyDescent="0.25">
      <c r="A51" s="410" t="s">
        <v>152</v>
      </c>
      <c r="B51" s="411"/>
      <c r="C51" s="424" t="s">
        <v>656</v>
      </c>
      <c r="D51" s="410" t="s">
        <v>88</v>
      </c>
      <c r="E51" s="424" t="s">
        <v>1335</v>
      </c>
      <c r="F51" s="410" t="s">
        <v>49</v>
      </c>
      <c r="G51" s="410" t="s">
        <v>1518</v>
      </c>
      <c r="H51" s="425" t="s">
        <v>178</v>
      </c>
      <c r="I51" s="425" t="s">
        <v>66</v>
      </c>
      <c r="J51" s="425" t="s">
        <v>66</v>
      </c>
      <c r="K51" s="425" t="s">
        <v>360</v>
      </c>
      <c r="L51" s="608" t="s">
        <v>326</v>
      </c>
      <c r="M51" s="694">
        <v>39.99</v>
      </c>
      <c r="N51" s="417">
        <v>1</v>
      </c>
      <c r="O51" s="418" t="s">
        <v>66</v>
      </c>
      <c r="P51" s="624">
        <f t="shared" si="4"/>
        <v>1.1243575371428756</v>
      </c>
      <c r="Q51" s="625">
        <v>4</v>
      </c>
      <c r="R51" s="625">
        <v>4</v>
      </c>
      <c r="S51" s="626">
        <v>8</v>
      </c>
      <c r="T51" s="419">
        <v>1.4</v>
      </c>
      <c r="U51" s="412">
        <v>4.25</v>
      </c>
      <c r="V51" s="412">
        <v>4.25</v>
      </c>
      <c r="W51" s="420">
        <v>9.5</v>
      </c>
      <c r="X51" s="419" t="s">
        <v>66</v>
      </c>
      <c r="Y51" s="412" t="s">
        <v>66</v>
      </c>
      <c r="Z51" s="412" t="s">
        <v>66</v>
      </c>
      <c r="AA51" s="420" t="s">
        <v>66</v>
      </c>
      <c r="AB51" s="419" t="s">
        <v>66</v>
      </c>
      <c r="AC51" s="412" t="s">
        <v>66</v>
      </c>
      <c r="AD51" s="412" t="s">
        <v>66</v>
      </c>
      <c r="AE51" s="420" t="s">
        <v>66</v>
      </c>
      <c r="AF51" s="419"/>
      <c r="AG51" s="588" t="s">
        <v>1131</v>
      </c>
      <c r="AH51" s="588" t="s">
        <v>1107</v>
      </c>
      <c r="AI51" s="588" t="s">
        <v>1132</v>
      </c>
      <c r="AJ51" s="588" t="s">
        <v>1133</v>
      </c>
      <c r="AK51" s="588" t="s">
        <v>1134</v>
      </c>
      <c r="AL51" s="588" t="s">
        <v>1111</v>
      </c>
      <c r="AM51" s="588" t="s">
        <v>1351</v>
      </c>
      <c r="AN51" s="588"/>
      <c r="AO51" s="588" t="s">
        <v>1135</v>
      </c>
      <c r="AP51" s="587" t="s">
        <v>107</v>
      </c>
      <c r="AQ51" s="588" t="s">
        <v>1247</v>
      </c>
    </row>
    <row r="52" spans="1:43" s="16" customFormat="1" x14ac:dyDescent="0.25">
      <c r="A52" s="16" t="s">
        <v>152</v>
      </c>
      <c r="B52" s="143"/>
      <c r="C52" s="24" t="s">
        <v>656</v>
      </c>
      <c r="D52" s="16" t="s">
        <v>95</v>
      </c>
      <c r="E52" s="21" t="s">
        <v>1335</v>
      </c>
      <c r="F52" s="16" t="s">
        <v>111</v>
      </c>
      <c r="G52" s="20" t="s">
        <v>1518</v>
      </c>
      <c r="H52" s="31" t="s">
        <v>2724</v>
      </c>
      <c r="I52" s="30" t="s">
        <v>66</v>
      </c>
      <c r="J52" s="30" t="s">
        <v>66</v>
      </c>
      <c r="K52" s="31" t="s">
        <v>360</v>
      </c>
      <c r="L52" s="300" t="s">
        <v>326</v>
      </c>
      <c r="M52" s="691">
        <v>39.99</v>
      </c>
      <c r="N52" s="19">
        <v>1</v>
      </c>
      <c r="O52" s="228" t="s">
        <v>66</v>
      </c>
      <c r="P52" s="620">
        <f t="shared" si="4"/>
        <v>1.1243575371428756</v>
      </c>
      <c r="Q52" s="621">
        <v>4</v>
      </c>
      <c r="R52" s="621">
        <v>4</v>
      </c>
      <c r="S52" s="623">
        <v>8</v>
      </c>
      <c r="T52" s="46">
        <v>1.4</v>
      </c>
      <c r="U52" s="35">
        <v>4.25</v>
      </c>
      <c r="V52" s="35">
        <v>4.25</v>
      </c>
      <c r="W52" s="72">
        <v>9.5</v>
      </c>
      <c r="X52" s="46" t="s">
        <v>66</v>
      </c>
      <c r="Y52" s="35" t="s">
        <v>66</v>
      </c>
      <c r="Z52" s="35" t="s">
        <v>66</v>
      </c>
      <c r="AA52" s="72" t="s">
        <v>66</v>
      </c>
      <c r="AB52" s="46" t="s">
        <v>66</v>
      </c>
      <c r="AC52" s="35" t="s">
        <v>66</v>
      </c>
      <c r="AD52" s="35" t="s">
        <v>66</v>
      </c>
      <c r="AE52" s="72" t="s">
        <v>66</v>
      </c>
      <c r="AF52" s="46"/>
      <c r="AG52" s="161" t="s">
        <v>1131</v>
      </c>
      <c r="AH52" s="161" t="s">
        <v>1107</v>
      </c>
      <c r="AI52" s="161" t="s">
        <v>1132</v>
      </c>
      <c r="AJ52" s="161" t="s">
        <v>1133</v>
      </c>
      <c r="AK52" s="161" t="s">
        <v>1134</v>
      </c>
      <c r="AL52" s="161" t="s">
        <v>1111</v>
      </c>
      <c r="AM52" s="161" t="s">
        <v>1351</v>
      </c>
      <c r="AN52" s="161"/>
      <c r="AO52" s="161" t="s">
        <v>1135</v>
      </c>
      <c r="AP52" s="48" t="s">
        <v>107</v>
      </c>
      <c r="AQ52" s="161" t="s">
        <v>1247</v>
      </c>
    </row>
    <row r="53" spans="1:43" s="16" customFormat="1" x14ac:dyDescent="0.25">
      <c r="A53" s="16" t="s">
        <v>152</v>
      </c>
      <c r="B53" s="143"/>
      <c r="C53" s="24" t="s">
        <v>656</v>
      </c>
      <c r="D53" s="16" t="s">
        <v>90</v>
      </c>
      <c r="E53" s="21" t="s">
        <v>1335</v>
      </c>
      <c r="F53" s="16" t="s">
        <v>110</v>
      </c>
      <c r="G53" s="20" t="s">
        <v>1518</v>
      </c>
      <c r="H53" s="31" t="s">
        <v>179</v>
      </c>
      <c r="I53" s="30" t="s">
        <v>66</v>
      </c>
      <c r="J53" s="30" t="s">
        <v>66</v>
      </c>
      <c r="K53" s="31" t="s">
        <v>360</v>
      </c>
      <c r="L53" s="300" t="s">
        <v>326</v>
      </c>
      <c r="M53" s="691">
        <v>39.99</v>
      </c>
      <c r="N53" s="19">
        <v>1</v>
      </c>
      <c r="O53" s="228" t="s">
        <v>66</v>
      </c>
      <c r="P53" s="620">
        <f t="shared" si="4"/>
        <v>1.1243575371428756</v>
      </c>
      <c r="Q53" s="621">
        <v>4</v>
      </c>
      <c r="R53" s="621">
        <v>4</v>
      </c>
      <c r="S53" s="623">
        <v>8</v>
      </c>
      <c r="T53" s="46">
        <v>1.4</v>
      </c>
      <c r="U53" s="35">
        <v>4.25</v>
      </c>
      <c r="V53" s="35">
        <v>4.25</v>
      </c>
      <c r="W53" s="72">
        <v>9.5</v>
      </c>
      <c r="X53" s="46" t="s">
        <v>66</v>
      </c>
      <c r="Y53" s="35" t="s">
        <v>66</v>
      </c>
      <c r="Z53" s="35" t="s">
        <v>66</v>
      </c>
      <c r="AA53" s="72" t="s">
        <v>66</v>
      </c>
      <c r="AB53" s="46" t="s">
        <v>66</v>
      </c>
      <c r="AC53" s="35" t="s">
        <v>66</v>
      </c>
      <c r="AD53" s="35" t="s">
        <v>66</v>
      </c>
      <c r="AE53" s="72" t="s">
        <v>66</v>
      </c>
      <c r="AF53" s="46"/>
      <c r="AG53" s="161" t="s">
        <v>1131</v>
      </c>
      <c r="AH53" s="161" t="s">
        <v>1107</v>
      </c>
      <c r="AI53" s="161" t="s">
        <v>1132</v>
      </c>
      <c r="AJ53" s="161" t="s">
        <v>1133</v>
      </c>
      <c r="AK53" s="161" t="s">
        <v>1134</v>
      </c>
      <c r="AL53" s="161" t="s">
        <v>1111</v>
      </c>
      <c r="AM53" s="161" t="s">
        <v>1351</v>
      </c>
      <c r="AN53" s="161"/>
      <c r="AO53" s="161" t="s">
        <v>1135</v>
      </c>
      <c r="AP53" s="48" t="s">
        <v>107</v>
      </c>
      <c r="AQ53" s="161" t="s">
        <v>1247</v>
      </c>
    </row>
    <row r="54" spans="1:43" s="16" customFormat="1" x14ac:dyDescent="0.25">
      <c r="A54" s="801" t="s">
        <v>120</v>
      </c>
      <c r="B54" s="801"/>
      <c r="C54" s="802"/>
      <c r="D54" s="17"/>
      <c r="E54" s="18"/>
      <c r="G54" s="20"/>
      <c r="H54" s="29"/>
      <c r="I54" s="29"/>
      <c r="J54" s="29"/>
      <c r="K54" s="29"/>
      <c r="L54" s="133"/>
      <c r="M54" s="691"/>
      <c r="N54" s="19"/>
      <c r="O54" s="77"/>
      <c r="P54" s="620"/>
      <c r="Q54" s="621"/>
      <c r="R54" s="621"/>
      <c r="S54" s="617"/>
      <c r="T54" s="44"/>
      <c r="U54" s="17"/>
      <c r="V54" s="17"/>
      <c r="W54" s="45"/>
      <c r="X54" s="44"/>
      <c r="Y54" s="17"/>
      <c r="Z54" s="17"/>
      <c r="AA54" s="45"/>
      <c r="AB54" s="44"/>
      <c r="AC54" s="17"/>
      <c r="AD54" s="17"/>
      <c r="AE54" s="45"/>
      <c r="AF54" s="46"/>
      <c r="AG54" s="48"/>
      <c r="AH54" s="48"/>
      <c r="AI54" s="48"/>
      <c r="AJ54" s="48"/>
      <c r="AK54" s="48"/>
      <c r="AL54" s="48"/>
      <c r="AM54" s="48"/>
      <c r="AN54" s="48"/>
      <c r="AO54" s="48"/>
      <c r="AP54" s="48"/>
      <c r="AQ54" s="48"/>
    </row>
    <row r="55" spans="1:43" s="16" customFormat="1" x14ac:dyDescent="0.25">
      <c r="A55" s="16" t="s">
        <v>152</v>
      </c>
      <c r="B55" s="143"/>
      <c r="C55" s="24" t="s">
        <v>412</v>
      </c>
      <c r="D55" s="24"/>
      <c r="E55" s="21" t="s">
        <v>1136</v>
      </c>
      <c r="G55" s="20" t="s">
        <v>1485</v>
      </c>
      <c r="H55" s="30" t="s">
        <v>66</v>
      </c>
      <c r="I55" s="30" t="s">
        <v>66</v>
      </c>
      <c r="J55" s="30" t="s">
        <v>66</v>
      </c>
      <c r="K55" s="31" t="s">
        <v>288</v>
      </c>
      <c r="L55" s="300" t="s">
        <v>328</v>
      </c>
      <c r="M55" s="691">
        <v>1.49</v>
      </c>
      <c r="N55" s="19">
        <v>1</v>
      </c>
      <c r="O55" s="228">
        <v>300</v>
      </c>
      <c r="P55" s="620">
        <v>0.1</v>
      </c>
      <c r="Q55" s="621">
        <v>1.25</v>
      </c>
      <c r="R55" s="621">
        <v>1.125</v>
      </c>
      <c r="S55" s="623">
        <v>4.25</v>
      </c>
      <c r="T55" s="46">
        <v>0.1</v>
      </c>
      <c r="U55" s="35">
        <v>1.25</v>
      </c>
      <c r="V55" s="35">
        <v>1.125</v>
      </c>
      <c r="W55" s="72">
        <v>4.25</v>
      </c>
      <c r="X55" s="46" t="s">
        <v>66</v>
      </c>
      <c r="Y55" s="35" t="s">
        <v>66</v>
      </c>
      <c r="Z55" s="35" t="s">
        <v>66</v>
      </c>
      <c r="AA55" s="72" t="s">
        <v>66</v>
      </c>
      <c r="AB55" s="46">
        <f>CONVERT(15400,"g","lbm")</f>
        <v>33.951188376471144</v>
      </c>
      <c r="AC55" s="35">
        <f>CONVERT(0.3079,"m","in")</f>
        <v>12.122047244094489</v>
      </c>
      <c r="AD55" s="35">
        <f>CONVERT(0.4635,"m","in")</f>
        <v>18.248031496062993</v>
      </c>
      <c r="AE55" s="72">
        <f>CONVERT(0.2,"m","in")</f>
        <v>7.8740157480314963</v>
      </c>
      <c r="AF55" s="46">
        <f t="shared" ref="AF55:AF62" si="5">AC55*AD55*AE55/(12^3)</f>
        <v>1.0079628714047455</v>
      </c>
      <c r="AG55" s="164" t="s">
        <v>1148</v>
      </c>
      <c r="AH55" s="164" t="s">
        <v>1149</v>
      </c>
      <c r="AI55" s="164" t="s">
        <v>1150</v>
      </c>
      <c r="AJ55" s="164" t="s">
        <v>1151</v>
      </c>
      <c r="AK55" s="164" t="s">
        <v>1152</v>
      </c>
      <c r="AL55" s="164" t="s">
        <v>1153</v>
      </c>
      <c r="AM55" s="161"/>
      <c r="AN55" s="161"/>
      <c r="AO55" s="165" t="s">
        <v>1154</v>
      </c>
      <c r="AP55" s="164" t="s">
        <v>1155</v>
      </c>
      <c r="AQ55" s="161" t="s">
        <v>1247</v>
      </c>
    </row>
    <row r="56" spans="1:43" s="16" customFormat="1" x14ac:dyDescent="0.25">
      <c r="A56" s="16" t="s">
        <v>152</v>
      </c>
      <c r="B56" s="143"/>
      <c r="C56" s="21" t="s">
        <v>1191</v>
      </c>
      <c r="D56" s="21"/>
      <c r="E56" s="21" t="s">
        <v>1192</v>
      </c>
      <c r="G56" s="20" t="s">
        <v>1485</v>
      </c>
      <c r="H56" s="30" t="s">
        <v>66</v>
      </c>
      <c r="I56" s="30" t="s">
        <v>66</v>
      </c>
      <c r="J56" s="30" t="s">
        <v>66</v>
      </c>
      <c r="K56" s="31" t="s">
        <v>288</v>
      </c>
      <c r="L56" s="300" t="s">
        <v>328</v>
      </c>
      <c r="M56" s="678">
        <v>1.59</v>
      </c>
      <c r="N56" s="19">
        <v>1</v>
      </c>
      <c r="O56" s="228">
        <v>300</v>
      </c>
      <c r="P56" s="620">
        <v>0.1</v>
      </c>
      <c r="Q56" s="621">
        <v>1.125</v>
      </c>
      <c r="R56" s="621">
        <v>1.125</v>
      </c>
      <c r="S56" s="623">
        <v>4.25</v>
      </c>
      <c r="T56" s="46">
        <v>0.1</v>
      </c>
      <c r="U56" s="35">
        <v>1.125</v>
      </c>
      <c r="V56" s="35">
        <v>1.125</v>
      </c>
      <c r="W56" s="72">
        <v>4.25</v>
      </c>
      <c r="X56" s="46" t="s">
        <v>66</v>
      </c>
      <c r="Y56" s="35" t="s">
        <v>66</v>
      </c>
      <c r="Z56" s="35" t="s">
        <v>66</v>
      </c>
      <c r="AA56" s="72" t="s">
        <v>66</v>
      </c>
      <c r="AB56" s="46">
        <f>CONVERT(15400,"g","lbm")</f>
        <v>33.951188376471144</v>
      </c>
      <c r="AC56" s="35">
        <v>12.5</v>
      </c>
      <c r="AD56" s="35">
        <v>18.5</v>
      </c>
      <c r="AE56" s="72">
        <v>8.125</v>
      </c>
      <c r="AF56" s="46">
        <f t="shared" si="5"/>
        <v>1.087330005787037</v>
      </c>
      <c r="AG56" s="164" t="s">
        <v>1148</v>
      </c>
      <c r="AH56" s="161" t="s">
        <v>1156</v>
      </c>
      <c r="AI56" s="164" t="s">
        <v>1149</v>
      </c>
      <c r="AJ56" s="164" t="s">
        <v>1150</v>
      </c>
      <c r="AK56" s="164" t="s">
        <v>1151</v>
      </c>
      <c r="AL56" s="164" t="s">
        <v>1152</v>
      </c>
      <c r="AM56" s="164" t="s">
        <v>1153</v>
      </c>
      <c r="AN56" s="161"/>
      <c r="AO56" s="165" t="s">
        <v>1157</v>
      </c>
      <c r="AP56" s="164" t="s">
        <v>1155</v>
      </c>
      <c r="AQ56" s="161" t="s">
        <v>1247</v>
      </c>
    </row>
    <row r="57" spans="1:43" s="16" customFormat="1" x14ac:dyDescent="0.25">
      <c r="A57" s="16" t="s">
        <v>152</v>
      </c>
      <c r="B57" s="143"/>
      <c r="C57" s="21" t="s">
        <v>1193</v>
      </c>
      <c r="D57" s="21"/>
      <c r="E57" s="21" t="s">
        <v>1194</v>
      </c>
      <c r="G57" s="20" t="s">
        <v>1485</v>
      </c>
      <c r="H57" s="30" t="s">
        <v>66</v>
      </c>
      <c r="I57" s="30" t="s">
        <v>66</v>
      </c>
      <c r="J57" s="30" t="s">
        <v>66</v>
      </c>
      <c r="K57" s="31" t="s">
        <v>288</v>
      </c>
      <c r="L57" s="300" t="s">
        <v>326</v>
      </c>
      <c r="M57" s="678">
        <v>3.99</v>
      </c>
      <c r="N57" s="19">
        <v>1</v>
      </c>
      <c r="O57" s="228">
        <v>162</v>
      </c>
      <c r="P57" s="620">
        <v>0.15</v>
      </c>
      <c r="Q57" s="621">
        <v>1.25</v>
      </c>
      <c r="R57" s="621">
        <v>1.25</v>
      </c>
      <c r="S57" s="623">
        <v>4</v>
      </c>
      <c r="T57" s="46">
        <v>0.15</v>
      </c>
      <c r="U57" s="35">
        <v>1.25</v>
      </c>
      <c r="V57" s="35">
        <v>1.25</v>
      </c>
      <c r="W57" s="72">
        <v>4</v>
      </c>
      <c r="X57" s="46" t="s">
        <v>66</v>
      </c>
      <c r="Y57" s="35" t="s">
        <v>66</v>
      </c>
      <c r="Z57" s="35" t="s">
        <v>66</v>
      </c>
      <c r="AA57" s="72" t="s">
        <v>66</v>
      </c>
      <c r="AB57" s="46">
        <v>22.7</v>
      </c>
      <c r="AC57" s="35">
        <v>12</v>
      </c>
      <c r="AD57" s="35">
        <v>12</v>
      </c>
      <c r="AE57" s="72">
        <v>7</v>
      </c>
      <c r="AF57" s="46">
        <f t="shared" si="5"/>
        <v>0.58333333333333337</v>
      </c>
      <c r="AG57" s="164" t="s">
        <v>1158</v>
      </c>
      <c r="AH57" s="164" t="s">
        <v>1159</v>
      </c>
      <c r="AI57" s="164" t="s">
        <v>1150</v>
      </c>
      <c r="AJ57" s="164" t="s">
        <v>1160</v>
      </c>
      <c r="AK57" s="164" t="s">
        <v>1152</v>
      </c>
      <c r="AL57" s="164" t="s">
        <v>345</v>
      </c>
      <c r="AM57" s="164" t="s">
        <v>1153</v>
      </c>
      <c r="AN57" s="161"/>
      <c r="AO57" s="165" t="s">
        <v>1161</v>
      </c>
      <c r="AP57" s="164" t="s">
        <v>1162</v>
      </c>
      <c r="AQ57" s="161" t="s">
        <v>1247</v>
      </c>
    </row>
    <row r="58" spans="1:43" s="16" customFormat="1" x14ac:dyDescent="0.25">
      <c r="A58" s="16" t="s">
        <v>152</v>
      </c>
      <c r="B58" s="143"/>
      <c r="C58" s="24" t="s">
        <v>136</v>
      </c>
      <c r="D58" s="24"/>
      <c r="E58" s="21" t="s">
        <v>1137</v>
      </c>
      <c r="G58" s="20" t="s">
        <v>1518</v>
      </c>
      <c r="H58" s="31" t="s">
        <v>103</v>
      </c>
      <c r="I58" s="30" t="s">
        <v>66</v>
      </c>
      <c r="J58" s="30" t="s">
        <v>2251</v>
      </c>
      <c r="K58" s="31" t="s">
        <v>288</v>
      </c>
      <c r="L58" s="300" t="s">
        <v>328</v>
      </c>
      <c r="M58" s="691">
        <v>4.99</v>
      </c>
      <c r="N58" s="19">
        <v>1</v>
      </c>
      <c r="O58" s="228">
        <v>100</v>
      </c>
      <c r="P58" s="620">
        <v>0.1</v>
      </c>
      <c r="Q58" s="621">
        <v>1.25</v>
      </c>
      <c r="R58" s="621">
        <v>1.125</v>
      </c>
      <c r="S58" s="623">
        <v>4.25</v>
      </c>
      <c r="T58" s="46">
        <v>0.4</v>
      </c>
      <c r="U58" s="35">
        <v>3.75</v>
      </c>
      <c r="V58" s="35">
        <v>1.25</v>
      </c>
      <c r="W58" s="72">
        <v>5</v>
      </c>
      <c r="X58" s="46" t="s">
        <v>66</v>
      </c>
      <c r="Y58" s="35" t="s">
        <v>66</v>
      </c>
      <c r="Z58" s="35" t="s">
        <v>66</v>
      </c>
      <c r="AA58" s="72" t="s">
        <v>66</v>
      </c>
      <c r="AB58" s="46">
        <v>38.25</v>
      </c>
      <c r="AC58" s="35">
        <v>15.75</v>
      </c>
      <c r="AD58" s="35">
        <v>18.75</v>
      </c>
      <c r="AE58" s="72">
        <v>7.125</v>
      </c>
      <c r="AF58" s="46">
        <f t="shared" si="5"/>
        <v>1.2176513671875</v>
      </c>
      <c r="AG58" s="164" t="s">
        <v>1148</v>
      </c>
      <c r="AH58" s="164" t="s">
        <v>1149</v>
      </c>
      <c r="AI58" s="164" t="s">
        <v>1150</v>
      </c>
      <c r="AJ58" s="164" t="s">
        <v>1151</v>
      </c>
      <c r="AK58" s="164" t="s">
        <v>1152</v>
      </c>
      <c r="AL58" s="164" t="s">
        <v>1153</v>
      </c>
      <c r="AM58" s="161"/>
      <c r="AN58" s="161"/>
      <c r="AO58" s="165" t="s">
        <v>1154</v>
      </c>
      <c r="AP58" s="164" t="s">
        <v>1155</v>
      </c>
      <c r="AQ58" s="161" t="s">
        <v>1247</v>
      </c>
    </row>
    <row r="59" spans="1:43" s="16" customFormat="1" x14ac:dyDescent="0.25">
      <c r="A59" s="16" t="s">
        <v>152</v>
      </c>
      <c r="B59" s="143"/>
      <c r="C59" s="24" t="s">
        <v>138</v>
      </c>
      <c r="D59" s="24"/>
      <c r="E59" s="21" t="s">
        <v>1138</v>
      </c>
      <c r="G59" s="20" t="s">
        <v>1518</v>
      </c>
      <c r="H59" s="31" t="s">
        <v>56</v>
      </c>
      <c r="I59" s="30" t="s">
        <v>66</v>
      </c>
      <c r="J59" s="30" t="s">
        <v>2250</v>
      </c>
      <c r="K59" s="31" t="s">
        <v>288</v>
      </c>
      <c r="L59" s="300" t="s">
        <v>328</v>
      </c>
      <c r="M59" s="691">
        <v>4.99</v>
      </c>
      <c r="N59" s="19">
        <v>1</v>
      </c>
      <c r="O59" s="228">
        <v>100</v>
      </c>
      <c r="P59" s="620">
        <v>0.1</v>
      </c>
      <c r="Q59" s="621">
        <v>1.125</v>
      </c>
      <c r="R59" s="621">
        <v>1.125</v>
      </c>
      <c r="S59" s="623">
        <v>4.25</v>
      </c>
      <c r="T59" s="46">
        <v>0.4</v>
      </c>
      <c r="U59" s="35">
        <v>3.75</v>
      </c>
      <c r="V59" s="35">
        <v>1.25</v>
      </c>
      <c r="W59" s="72">
        <v>5</v>
      </c>
      <c r="X59" s="46" t="s">
        <v>66</v>
      </c>
      <c r="Y59" s="35" t="s">
        <v>66</v>
      </c>
      <c r="Z59" s="35" t="s">
        <v>66</v>
      </c>
      <c r="AA59" s="72" t="s">
        <v>66</v>
      </c>
      <c r="AB59" s="46">
        <v>38.25</v>
      </c>
      <c r="AC59" s="35">
        <v>15.75</v>
      </c>
      <c r="AD59" s="35">
        <v>18.75</v>
      </c>
      <c r="AE59" s="72">
        <v>7.125</v>
      </c>
      <c r="AF59" s="46">
        <f t="shared" si="5"/>
        <v>1.2176513671875</v>
      </c>
      <c r="AG59" s="164" t="s">
        <v>1148</v>
      </c>
      <c r="AH59" s="161" t="s">
        <v>1156</v>
      </c>
      <c r="AI59" s="164" t="s">
        <v>1149</v>
      </c>
      <c r="AJ59" s="164" t="s">
        <v>1150</v>
      </c>
      <c r="AK59" s="164" t="s">
        <v>1151</v>
      </c>
      <c r="AL59" s="164" t="s">
        <v>1152</v>
      </c>
      <c r="AM59" s="164" t="s">
        <v>1153</v>
      </c>
      <c r="AN59" s="161"/>
      <c r="AO59" s="165" t="s">
        <v>1157</v>
      </c>
      <c r="AP59" s="164" t="s">
        <v>1155</v>
      </c>
      <c r="AQ59" s="161" t="s">
        <v>1247</v>
      </c>
    </row>
    <row r="60" spans="1:43" s="16" customFormat="1" x14ac:dyDescent="0.25">
      <c r="A60" s="16" t="s">
        <v>152</v>
      </c>
      <c r="B60" s="143"/>
      <c r="C60" s="24" t="s">
        <v>137</v>
      </c>
      <c r="D60" s="24"/>
      <c r="E60" s="21" t="s">
        <v>1139</v>
      </c>
      <c r="G60" s="20" t="s">
        <v>1518</v>
      </c>
      <c r="H60" s="30" t="s">
        <v>55</v>
      </c>
      <c r="I60" s="30" t="s">
        <v>66</v>
      </c>
      <c r="J60" s="30" t="s">
        <v>66</v>
      </c>
      <c r="K60" s="31" t="s">
        <v>288</v>
      </c>
      <c r="L60" s="300" t="s">
        <v>326</v>
      </c>
      <c r="M60" s="691">
        <v>11.99</v>
      </c>
      <c r="N60" s="19">
        <v>1</v>
      </c>
      <c r="O60" s="228">
        <v>50</v>
      </c>
      <c r="P60" s="620">
        <v>0.15</v>
      </c>
      <c r="Q60" s="621">
        <v>1.25</v>
      </c>
      <c r="R60" s="621">
        <v>1.25</v>
      </c>
      <c r="S60" s="623">
        <v>4</v>
      </c>
      <c r="T60" s="46">
        <f>CONVERT(195,"g","lbm")</f>
        <v>0.42990141126051129</v>
      </c>
      <c r="U60" s="35">
        <v>3.75</v>
      </c>
      <c r="V60" s="35">
        <v>1.375</v>
      </c>
      <c r="W60" s="72">
        <v>4.75</v>
      </c>
      <c r="X60" s="46" t="s">
        <v>66</v>
      </c>
      <c r="Y60" s="35" t="s">
        <v>66</v>
      </c>
      <c r="Z60" s="35" t="s">
        <v>66</v>
      </c>
      <c r="AA60" s="72" t="s">
        <v>66</v>
      </c>
      <c r="AB60" s="46">
        <v>22.7</v>
      </c>
      <c r="AC60" s="35">
        <v>12.75</v>
      </c>
      <c r="AD60" s="35">
        <v>12.75</v>
      </c>
      <c r="AE60" s="72">
        <v>8</v>
      </c>
      <c r="AF60" s="46">
        <f t="shared" si="5"/>
        <v>0.75260416666666663</v>
      </c>
      <c r="AG60" s="164" t="s">
        <v>1158</v>
      </c>
      <c r="AH60" s="164" t="s">
        <v>1159</v>
      </c>
      <c r="AI60" s="164" t="s">
        <v>1150</v>
      </c>
      <c r="AJ60" s="164" t="s">
        <v>1160</v>
      </c>
      <c r="AK60" s="164" t="s">
        <v>1152</v>
      </c>
      <c r="AL60" s="164" t="s">
        <v>345</v>
      </c>
      <c r="AM60" s="164" t="s">
        <v>1153</v>
      </c>
      <c r="AN60" s="161"/>
      <c r="AO60" s="165" t="s">
        <v>1161</v>
      </c>
      <c r="AP60" s="164" t="s">
        <v>1162</v>
      </c>
      <c r="AQ60" s="161" t="s">
        <v>1247</v>
      </c>
    </row>
    <row r="61" spans="1:43" s="16" customFormat="1" x14ac:dyDescent="0.25">
      <c r="A61" s="16" t="s">
        <v>152</v>
      </c>
      <c r="B61" s="143"/>
      <c r="C61" s="303" t="s">
        <v>201</v>
      </c>
      <c r="D61" s="24"/>
      <c r="E61" s="22" t="s">
        <v>1140</v>
      </c>
      <c r="G61" s="20" t="s">
        <v>1518</v>
      </c>
      <c r="H61" s="31" t="s">
        <v>203</v>
      </c>
      <c r="I61" s="30" t="s">
        <v>66</v>
      </c>
      <c r="J61" s="30" t="s">
        <v>66</v>
      </c>
      <c r="K61" s="31" t="s">
        <v>288</v>
      </c>
      <c r="L61" s="300" t="s">
        <v>326</v>
      </c>
      <c r="M61" s="691">
        <v>2.99</v>
      </c>
      <c r="N61" s="19">
        <v>1</v>
      </c>
      <c r="O61" s="228">
        <v>100</v>
      </c>
      <c r="P61" s="620">
        <f>0.5/16</f>
        <v>3.125E-2</v>
      </c>
      <c r="Q61" s="621">
        <v>1.5</v>
      </c>
      <c r="R61" s="621">
        <v>1.5</v>
      </c>
      <c r="S61" s="623">
        <v>0.75</v>
      </c>
      <c r="T61" s="46">
        <v>0.2</v>
      </c>
      <c r="U61" s="35">
        <v>3.125</v>
      </c>
      <c r="V61" s="35">
        <v>0.875</v>
      </c>
      <c r="W61" s="72">
        <v>5.5</v>
      </c>
      <c r="X61" s="46" t="s">
        <v>66</v>
      </c>
      <c r="Y61" s="35" t="s">
        <v>66</v>
      </c>
      <c r="Z61" s="35" t="s">
        <v>66</v>
      </c>
      <c r="AA61" s="72" t="s">
        <v>66</v>
      </c>
      <c r="AB61" s="46">
        <v>22.3</v>
      </c>
      <c r="AC61" s="35">
        <v>16</v>
      </c>
      <c r="AD61" s="35">
        <v>14</v>
      </c>
      <c r="AE61" s="72">
        <v>9</v>
      </c>
      <c r="AF61" s="46">
        <f t="shared" si="5"/>
        <v>1.1666666666666667</v>
      </c>
      <c r="AG61" s="161" t="s">
        <v>1163</v>
      </c>
      <c r="AH61" s="164" t="s">
        <v>1164</v>
      </c>
      <c r="AI61" s="164" t="s">
        <v>1153</v>
      </c>
      <c r="AJ61" s="163"/>
      <c r="AK61" s="161"/>
      <c r="AL61" s="161"/>
      <c r="AM61" s="161"/>
      <c r="AN61" s="161"/>
      <c r="AO61" s="164" t="s">
        <v>1165</v>
      </c>
      <c r="AP61" s="165" t="s">
        <v>1166</v>
      </c>
      <c r="AQ61" s="161" t="s">
        <v>1247</v>
      </c>
    </row>
    <row r="62" spans="1:43" s="16" customFormat="1" x14ac:dyDescent="0.25">
      <c r="A62" s="16" t="s">
        <v>152</v>
      </c>
      <c r="B62" s="143"/>
      <c r="C62" s="24" t="s">
        <v>332</v>
      </c>
      <c r="D62" s="24"/>
      <c r="E62" s="22" t="s">
        <v>1141</v>
      </c>
      <c r="G62" s="20" t="s">
        <v>1518</v>
      </c>
      <c r="H62" s="31" t="s">
        <v>314</v>
      </c>
      <c r="I62" s="30" t="s">
        <v>66</v>
      </c>
      <c r="J62" s="30" t="s">
        <v>66</v>
      </c>
      <c r="K62" s="31" t="s">
        <v>288</v>
      </c>
      <c r="L62" s="300" t="s">
        <v>326</v>
      </c>
      <c r="M62" s="691">
        <v>3.99</v>
      </c>
      <c r="N62" s="19">
        <v>1</v>
      </c>
      <c r="O62" s="228">
        <v>100</v>
      </c>
      <c r="P62" s="620">
        <f>0.5/16</f>
        <v>3.125E-2</v>
      </c>
      <c r="Q62" s="621">
        <v>1.5</v>
      </c>
      <c r="R62" s="621">
        <v>1.5</v>
      </c>
      <c r="S62" s="623">
        <v>0.75</v>
      </c>
      <c r="T62" s="46">
        <v>0.2</v>
      </c>
      <c r="U62" s="35">
        <v>3.125</v>
      </c>
      <c r="V62" s="35">
        <v>0.875</v>
      </c>
      <c r="W62" s="72">
        <v>5.5</v>
      </c>
      <c r="X62" s="46" t="s">
        <v>66</v>
      </c>
      <c r="Y62" s="35" t="s">
        <v>66</v>
      </c>
      <c r="Z62" s="35" t="s">
        <v>66</v>
      </c>
      <c r="AA62" s="72" t="s">
        <v>66</v>
      </c>
      <c r="AB62" s="46">
        <v>21.85</v>
      </c>
      <c r="AC62" s="35">
        <v>16</v>
      </c>
      <c r="AD62" s="35">
        <v>14</v>
      </c>
      <c r="AE62" s="72">
        <v>9</v>
      </c>
      <c r="AF62" s="46">
        <f t="shared" si="5"/>
        <v>1.1666666666666667</v>
      </c>
      <c r="AG62" s="161" t="s">
        <v>1163</v>
      </c>
      <c r="AH62" s="161" t="s">
        <v>1156</v>
      </c>
      <c r="AI62" s="164" t="s">
        <v>1164</v>
      </c>
      <c r="AJ62" s="164" t="s">
        <v>1153</v>
      </c>
      <c r="AK62" s="163"/>
      <c r="AL62" s="163"/>
      <c r="AM62" s="163"/>
      <c r="AN62" s="163"/>
      <c r="AO62" s="164" t="s">
        <v>1167</v>
      </c>
      <c r="AP62" s="165" t="s">
        <v>1166</v>
      </c>
      <c r="AQ62" s="161" t="s">
        <v>1247</v>
      </c>
    </row>
    <row r="63" spans="1:43" s="1" customFormat="1" x14ac:dyDescent="0.25">
      <c r="A63" s="112" t="s">
        <v>152</v>
      </c>
      <c r="B63" s="144"/>
      <c r="C63" s="110" t="s">
        <v>202</v>
      </c>
      <c r="D63" s="2"/>
      <c r="E63" s="138" t="s">
        <v>1142</v>
      </c>
      <c r="G63" s="20" t="s">
        <v>1518</v>
      </c>
      <c r="H63" s="113" t="s">
        <v>204</v>
      </c>
      <c r="I63" s="30" t="s">
        <v>66</v>
      </c>
      <c r="J63" s="30" t="s">
        <v>66</v>
      </c>
      <c r="K63" s="113" t="s">
        <v>288</v>
      </c>
      <c r="L63" s="302" t="s">
        <v>328</v>
      </c>
      <c r="M63" s="695">
        <v>4.99</v>
      </c>
      <c r="N63" s="19">
        <v>1</v>
      </c>
      <c r="O63" s="357" t="s">
        <v>66</v>
      </c>
      <c r="P63" s="620">
        <f>0.6/16</f>
        <v>3.7499999999999999E-2</v>
      </c>
      <c r="Q63" s="621">
        <v>1.5</v>
      </c>
      <c r="R63" s="621">
        <v>1.5</v>
      </c>
      <c r="S63" s="623">
        <v>0.75</v>
      </c>
      <c r="T63" s="146">
        <v>0.1</v>
      </c>
      <c r="U63" s="147">
        <v>4.25</v>
      </c>
      <c r="V63" s="147">
        <v>0.625</v>
      </c>
      <c r="W63" s="148">
        <v>6.75</v>
      </c>
      <c r="X63" s="46" t="s">
        <v>66</v>
      </c>
      <c r="Y63" s="35" t="s">
        <v>66</v>
      </c>
      <c r="Z63" s="35" t="s">
        <v>66</v>
      </c>
      <c r="AA63" s="72" t="s">
        <v>66</v>
      </c>
      <c r="AB63" s="146" t="s">
        <v>66</v>
      </c>
      <c r="AC63" s="147" t="s">
        <v>66</v>
      </c>
      <c r="AD63" s="147" t="s">
        <v>66</v>
      </c>
      <c r="AE63" s="148" t="s">
        <v>66</v>
      </c>
      <c r="AF63" s="46"/>
      <c r="AG63" s="161" t="s">
        <v>1163</v>
      </c>
      <c r="AH63" s="170" t="s">
        <v>914</v>
      </c>
      <c r="AI63" s="171" t="s">
        <v>345</v>
      </c>
      <c r="AJ63" s="162" t="s">
        <v>1168</v>
      </c>
      <c r="AK63" s="164" t="s">
        <v>1153</v>
      </c>
      <c r="AL63" s="171"/>
      <c r="AM63" s="171"/>
      <c r="AN63" s="171"/>
      <c r="AO63" s="164" t="s">
        <v>1169</v>
      </c>
      <c r="AP63" s="165" t="s">
        <v>1170</v>
      </c>
      <c r="AQ63" s="161" t="s">
        <v>1247</v>
      </c>
    </row>
    <row r="64" spans="1:43" s="122" customFormat="1" x14ac:dyDescent="0.25">
      <c r="A64" s="121" t="s">
        <v>152</v>
      </c>
      <c r="B64" s="145"/>
      <c r="C64" s="39" t="s">
        <v>904</v>
      </c>
      <c r="D64" s="423"/>
      <c r="E64" s="39" t="s">
        <v>1143</v>
      </c>
      <c r="G64" s="121" t="s">
        <v>1517</v>
      </c>
      <c r="H64" s="56" t="s">
        <v>903</v>
      </c>
      <c r="I64" s="30" t="s">
        <v>66</v>
      </c>
      <c r="J64" s="30" t="s">
        <v>66</v>
      </c>
      <c r="K64" s="123" t="s">
        <v>288</v>
      </c>
      <c r="L64" s="58" t="s">
        <v>328</v>
      </c>
      <c r="M64" s="677" t="s">
        <v>66</v>
      </c>
      <c r="N64" s="19">
        <v>1</v>
      </c>
      <c r="O64" s="357" t="s">
        <v>66</v>
      </c>
      <c r="P64" s="620">
        <f>0.6/16</f>
        <v>3.7499999999999999E-2</v>
      </c>
      <c r="Q64" s="621">
        <v>1.5</v>
      </c>
      <c r="R64" s="621">
        <v>1.5</v>
      </c>
      <c r="S64" s="623">
        <v>0.75</v>
      </c>
      <c r="T64" s="95">
        <v>1</v>
      </c>
      <c r="U64" s="177">
        <v>5.125</v>
      </c>
      <c r="V64" s="177">
        <v>5.25</v>
      </c>
      <c r="W64" s="227">
        <v>2.25</v>
      </c>
      <c r="X64" s="46" t="s">
        <v>66</v>
      </c>
      <c r="Y64" s="35" t="s">
        <v>66</v>
      </c>
      <c r="Z64" s="35" t="s">
        <v>66</v>
      </c>
      <c r="AA64" s="72" t="s">
        <v>66</v>
      </c>
      <c r="AB64" s="146" t="s">
        <v>66</v>
      </c>
      <c r="AC64" s="147" t="s">
        <v>66</v>
      </c>
      <c r="AD64" s="147" t="s">
        <v>66</v>
      </c>
      <c r="AE64" s="148" t="s">
        <v>66</v>
      </c>
      <c r="AF64" s="46"/>
      <c r="AG64" s="161" t="s">
        <v>1163</v>
      </c>
      <c r="AH64" s="170" t="s">
        <v>914</v>
      </c>
      <c r="AI64" s="164" t="s">
        <v>1153</v>
      </c>
      <c r="AJ64" s="169"/>
      <c r="AK64" s="169"/>
      <c r="AL64" s="169"/>
      <c r="AM64" s="169"/>
      <c r="AN64" s="169"/>
      <c r="AO64" s="164" t="s">
        <v>1171</v>
      </c>
      <c r="AP64" s="165" t="s">
        <v>1170</v>
      </c>
      <c r="AQ64" s="161" t="s">
        <v>1247</v>
      </c>
    </row>
    <row r="65" spans="1:264" s="1" customFormat="1" x14ac:dyDescent="0.25">
      <c r="A65" s="112" t="s">
        <v>152</v>
      </c>
      <c r="B65" s="144"/>
      <c r="C65" s="39" t="s">
        <v>905</v>
      </c>
      <c r="D65" s="423"/>
      <c r="E65" s="22" t="s">
        <v>1144</v>
      </c>
      <c r="G65" s="121" t="s">
        <v>1517</v>
      </c>
      <c r="H65" s="31" t="s">
        <v>909</v>
      </c>
      <c r="I65" s="30" t="s">
        <v>66</v>
      </c>
      <c r="J65" s="30" t="s">
        <v>66</v>
      </c>
      <c r="K65" s="113" t="s">
        <v>288</v>
      </c>
      <c r="L65" s="47" t="s">
        <v>913</v>
      </c>
      <c r="M65" s="677" t="s">
        <v>66</v>
      </c>
      <c r="N65" s="19">
        <v>1</v>
      </c>
      <c r="O65" s="357" t="s">
        <v>66</v>
      </c>
      <c r="P65" s="620">
        <f>0.5/16</f>
        <v>3.125E-2</v>
      </c>
      <c r="Q65" s="621">
        <v>1.5</v>
      </c>
      <c r="R65" s="621">
        <v>1.5</v>
      </c>
      <c r="S65" s="623">
        <v>0.75</v>
      </c>
      <c r="T65" s="95">
        <v>1</v>
      </c>
      <c r="U65" s="177">
        <v>5.125</v>
      </c>
      <c r="V65" s="177">
        <v>5.25</v>
      </c>
      <c r="W65" s="227">
        <v>2.25</v>
      </c>
      <c r="X65" s="46" t="s">
        <v>66</v>
      </c>
      <c r="Y65" s="35" t="s">
        <v>66</v>
      </c>
      <c r="Z65" s="35" t="s">
        <v>66</v>
      </c>
      <c r="AA65" s="72" t="s">
        <v>66</v>
      </c>
      <c r="AB65" s="146" t="s">
        <v>66</v>
      </c>
      <c r="AC65" s="147" t="s">
        <v>66</v>
      </c>
      <c r="AD65" s="147" t="s">
        <v>66</v>
      </c>
      <c r="AE65" s="148" t="s">
        <v>66</v>
      </c>
      <c r="AF65" s="46"/>
      <c r="AG65" s="161" t="s">
        <v>1163</v>
      </c>
      <c r="AH65" s="161" t="s">
        <v>1156</v>
      </c>
      <c r="AI65" s="164" t="s">
        <v>1153</v>
      </c>
      <c r="AJ65" s="161"/>
      <c r="AK65" s="161"/>
      <c r="AL65" s="161"/>
      <c r="AM65" s="161"/>
      <c r="AN65" s="161"/>
      <c r="AO65" s="164" t="s">
        <v>1172</v>
      </c>
      <c r="AP65" s="165" t="s">
        <v>1166</v>
      </c>
      <c r="AQ65" s="161" t="s">
        <v>1247</v>
      </c>
    </row>
    <row r="66" spans="1:264" s="1" customFormat="1" x14ac:dyDescent="0.25">
      <c r="A66" s="112" t="s">
        <v>152</v>
      </c>
      <c r="B66" s="144"/>
      <c r="C66" s="39" t="s">
        <v>906</v>
      </c>
      <c r="D66" s="423"/>
      <c r="E66" s="22" t="s">
        <v>1145</v>
      </c>
      <c r="G66" s="121" t="s">
        <v>1517</v>
      </c>
      <c r="H66" s="31" t="s">
        <v>910</v>
      </c>
      <c r="I66" s="30" t="s">
        <v>66</v>
      </c>
      <c r="J66" s="30" t="s">
        <v>66</v>
      </c>
      <c r="K66" s="113" t="s">
        <v>288</v>
      </c>
      <c r="L66" s="47" t="s">
        <v>328</v>
      </c>
      <c r="M66" s="677" t="s">
        <v>66</v>
      </c>
      <c r="N66" s="19">
        <v>1</v>
      </c>
      <c r="O66" s="357" t="s">
        <v>66</v>
      </c>
      <c r="P66" s="620">
        <v>0.1</v>
      </c>
      <c r="Q66" s="621">
        <v>1.25</v>
      </c>
      <c r="R66" s="621">
        <v>1.125</v>
      </c>
      <c r="S66" s="623">
        <v>4.25</v>
      </c>
      <c r="T66" s="95">
        <v>2.35</v>
      </c>
      <c r="U66" s="177">
        <v>8.25</v>
      </c>
      <c r="V66" s="177">
        <v>4.375</v>
      </c>
      <c r="W66" s="227">
        <v>4.5</v>
      </c>
      <c r="X66" s="46" t="s">
        <v>66</v>
      </c>
      <c r="Y66" s="35" t="s">
        <v>66</v>
      </c>
      <c r="Z66" s="35" t="s">
        <v>66</v>
      </c>
      <c r="AA66" s="72" t="s">
        <v>66</v>
      </c>
      <c r="AB66" s="146" t="s">
        <v>66</v>
      </c>
      <c r="AC66" s="147" t="s">
        <v>66</v>
      </c>
      <c r="AD66" s="147" t="s">
        <v>66</v>
      </c>
      <c r="AE66" s="148" t="s">
        <v>66</v>
      </c>
      <c r="AF66" s="46"/>
      <c r="AG66" s="164" t="s">
        <v>1148</v>
      </c>
      <c r="AH66" s="164" t="s">
        <v>1149</v>
      </c>
      <c r="AI66" s="164" t="s">
        <v>1150</v>
      </c>
      <c r="AJ66" s="164" t="s">
        <v>1151</v>
      </c>
      <c r="AK66" s="164" t="s">
        <v>1152</v>
      </c>
      <c r="AL66" s="164" t="s">
        <v>1153</v>
      </c>
      <c r="AM66" s="161"/>
      <c r="AN66" s="161"/>
      <c r="AO66" s="165" t="s">
        <v>1154</v>
      </c>
      <c r="AP66" s="164" t="s">
        <v>1155</v>
      </c>
      <c r="AQ66" s="161" t="s">
        <v>1247</v>
      </c>
    </row>
    <row r="67" spans="1:264" s="1" customFormat="1" x14ac:dyDescent="0.25">
      <c r="A67" s="112" t="s">
        <v>152</v>
      </c>
      <c r="B67" s="144"/>
      <c r="C67" s="39" t="s">
        <v>907</v>
      </c>
      <c r="D67" s="423"/>
      <c r="E67" s="22" t="s">
        <v>1146</v>
      </c>
      <c r="G67" s="121" t="s">
        <v>1517</v>
      </c>
      <c r="H67" s="31" t="s">
        <v>911</v>
      </c>
      <c r="I67" s="30" t="s">
        <v>66</v>
      </c>
      <c r="J67" s="30" t="s">
        <v>66</v>
      </c>
      <c r="K67" s="113" t="s">
        <v>288</v>
      </c>
      <c r="L67" s="47" t="s">
        <v>328</v>
      </c>
      <c r="M67" s="677" t="s">
        <v>66</v>
      </c>
      <c r="N67" s="19">
        <v>1</v>
      </c>
      <c r="O67" s="357" t="s">
        <v>66</v>
      </c>
      <c r="P67" s="620">
        <v>0.1</v>
      </c>
      <c r="Q67" s="621">
        <v>1.125</v>
      </c>
      <c r="R67" s="621">
        <v>1.125</v>
      </c>
      <c r="S67" s="623">
        <v>4.25</v>
      </c>
      <c r="T67" s="95">
        <v>2.2999999999999998</v>
      </c>
      <c r="U67" s="177">
        <v>8.25</v>
      </c>
      <c r="V67" s="177">
        <v>4.375</v>
      </c>
      <c r="W67" s="227">
        <v>4.5</v>
      </c>
      <c r="X67" s="46" t="s">
        <v>66</v>
      </c>
      <c r="Y67" s="35" t="s">
        <v>66</v>
      </c>
      <c r="Z67" s="35" t="s">
        <v>66</v>
      </c>
      <c r="AA67" s="72" t="s">
        <v>66</v>
      </c>
      <c r="AB67" s="146" t="s">
        <v>66</v>
      </c>
      <c r="AC67" s="147" t="s">
        <v>66</v>
      </c>
      <c r="AD67" s="147" t="s">
        <v>66</v>
      </c>
      <c r="AE67" s="148" t="s">
        <v>66</v>
      </c>
      <c r="AF67" s="46"/>
      <c r="AG67" s="164" t="s">
        <v>1148</v>
      </c>
      <c r="AH67" s="161" t="s">
        <v>1156</v>
      </c>
      <c r="AI67" s="164" t="s">
        <v>1149</v>
      </c>
      <c r="AJ67" s="164" t="s">
        <v>1150</v>
      </c>
      <c r="AK67" s="164" t="s">
        <v>1151</v>
      </c>
      <c r="AL67" s="164" t="s">
        <v>1152</v>
      </c>
      <c r="AM67" s="164" t="s">
        <v>1153</v>
      </c>
      <c r="AN67" s="161"/>
      <c r="AO67" s="165" t="s">
        <v>1157</v>
      </c>
      <c r="AP67" s="164" t="s">
        <v>1155</v>
      </c>
      <c r="AQ67" s="161" t="s">
        <v>1247</v>
      </c>
    </row>
    <row r="68" spans="1:264" s="1" customFormat="1" x14ac:dyDescent="0.25">
      <c r="A68" s="112" t="s">
        <v>152</v>
      </c>
      <c r="B68" s="144"/>
      <c r="C68" s="39" t="s">
        <v>908</v>
      </c>
      <c r="D68" s="423"/>
      <c r="E68" s="22" t="s">
        <v>1147</v>
      </c>
      <c r="G68" s="121" t="s">
        <v>1517</v>
      </c>
      <c r="H68" s="31" t="s">
        <v>912</v>
      </c>
      <c r="I68" s="30" t="s">
        <v>66</v>
      </c>
      <c r="J68" s="30" t="s">
        <v>66</v>
      </c>
      <c r="K68" s="113" t="s">
        <v>288</v>
      </c>
      <c r="L68" s="47" t="s">
        <v>913</v>
      </c>
      <c r="M68" s="677" t="s">
        <v>66</v>
      </c>
      <c r="N68" s="19">
        <v>1</v>
      </c>
      <c r="O68" s="357" t="s">
        <v>66</v>
      </c>
      <c r="P68" s="620">
        <v>0.15</v>
      </c>
      <c r="Q68" s="621">
        <v>1.25</v>
      </c>
      <c r="R68" s="621">
        <v>1.25</v>
      </c>
      <c r="S68" s="623">
        <v>4</v>
      </c>
      <c r="T68" s="95">
        <v>2.95</v>
      </c>
      <c r="U68" s="177">
        <v>9.0625</v>
      </c>
      <c r="V68" s="177">
        <v>5.5</v>
      </c>
      <c r="W68" s="227">
        <v>5.5</v>
      </c>
      <c r="X68" s="46" t="s">
        <v>66</v>
      </c>
      <c r="Y68" s="35" t="s">
        <v>66</v>
      </c>
      <c r="Z68" s="35" t="s">
        <v>66</v>
      </c>
      <c r="AA68" s="72" t="s">
        <v>66</v>
      </c>
      <c r="AB68" s="146" t="s">
        <v>66</v>
      </c>
      <c r="AC68" s="147" t="s">
        <v>66</v>
      </c>
      <c r="AD68" s="147" t="s">
        <v>66</v>
      </c>
      <c r="AE68" s="148" t="s">
        <v>66</v>
      </c>
      <c r="AF68" s="46"/>
      <c r="AG68" s="164" t="s">
        <v>1158</v>
      </c>
      <c r="AH68" s="164" t="s">
        <v>1159</v>
      </c>
      <c r="AI68" s="164" t="s">
        <v>1150</v>
      </c>
      <c r="AJ68" s="164" t="s">
        <v>1160</v>
      </c>
      <c r="AK68" s="164" t="s">
        <v>1152</v>
      </c>
      <c r="AL68" s="164" t="s">
        <v>345</v>
      </c>
      <c r="AM68" s="164" t="s">
        <v>1153</v>
      </c>
      <c r="AN68" s="161"/>
      <c r="AO68" s="165" t="s">
        <v>1161</v>
      </c>
      <c r="AP68" s="164" t="s">
        <v>1162</v>
      </c>
      <c r="AQ68" s="161" t="s">
        <v>1247</v>
      </c>
    </row>
    <row r="69" spans="1:264" s="16" customFormat="1" x14ac:dyDescent="0.25">
      <c r="A69" s="20"/>
      <c r="B69" s="20"/>
      <c r="C69" s="82"/>
      <c r="D69" s="24"/>
      <c r="E69" s="39"/>
      <c r="G69" s="20"/>
      <c r="H69" s="116"/>
      <c r="I69" s="116"/>
      <c r="J69" s="116"/>
      <c r="K69" s="31"/>
      <c r="L69" s="300"/>
      <c r="M69" s="691"/>
      <c r="N69" s="19"/>
      <c r="O69" s="228"/>
      <c r="P69" s="620"/>
      <c r="Q69" s="621"/>
      <c r="R69" s="621"/>
      <c r="S69" s="623"/>
      <c r="T69" s="44"/>
      <c r="U69" s="17"/>
      <c r="V69" s="17"/>
      <c r="W69" s="45"/>
      <c r="X69" s="44"/>
      <c r="Y69" s="17"/>
      <c r="Z69" s="17"/>
      <c r="AA69" s="45"/>
      <c r="AB69" s="46"/>
      <c r="AC69" s="35"/>
      <c r="AD69" s="35"/>
      <c r="AE69" s="72"/>
      <c r="AF69" s="46"/>
      <c r="AG69" s="161"/>
      <c r="AH69" s="161"/>
      <c r="AI69" s="161"/>
      <c r="AJ69" s="161"/>
      <c r="AK69" s="161"/>
      <c r="AL69" s="161"/>
      <c r="AM69" s="48"/>
      <c r="AN69" s="159"/>
      <c r="AO69" s="48"/>
      <c r="AP69" s="48"/>
      <c r="AQ69" s="48"/>
    </row>
    <row r="70" spans="1:264" s="16" customFormat="1" ht="15.6" x14ac:dyDescent="0.3">
      <c r="A70" s="799" t="s">
        <v>1223</v>
      </c>
      <c r="B70" s="799"/>
      <c r="C70" s="799"/>
      <c r="D70" s="24"/>
      <c r="E70" s="22"/>
      <c r="G70" s="20"/>
      <c r="H70" s="31"/>
      <c r="I70" s="31"/>
      <c r="J70" s="31"/>
      <c r="K70" s="31"/>
      <c r="L70" s="300"/>
      <c r="M70" s="691"/>
      <c r="N70" s="19"/>
      <c r="O70" s="77"/>
      <c r="P70" s="620"/>
      <c r="Q70" s="621"/>
      <c r="R70" s="621"/>
      <c r="S70" s="617"/>
      <c r="T70" s="44"/>
      <c r="U70" s="17"/>
      <c r="V70" s="17"/>
      <c r="W70" s="45"/>
      <c r="X70" s="44"/>
      <c r="Y70" s="17"/>
      <c r="Z70" s="17"/>
      <c r="AA70" s="45"/>
      <c r="AB70" s="44"/>
      <c r="AC70" s="17"/>
      <c r="AD70" s="17"/>
      <c r="AE70" s="45"/>
      <c r="AF70" s="153"/>
      <c r="AG70" s="161"/>
      <c r="AH70" s="161"/>
      <c r="AI70" s="161"/>
      <c r="AJ70" s="161"/>
      <c r="AK70" s="161"/>
      <c r="AL70" s="161"/>
      <c r="AM70" s="48"/>
      <c r="AN70" s="159"/>
      <c r="AO70" s="48"/>
      <c r="AP70" s="48"/>
      <c r="AQ70" s="48"/>
    </row>
    <row r="71" spans="1:264" s="16" customFormat="1" x14ac:dyDescent="0.25">
      <c r="A71" s="16" t="s">
        <v>152</v>
      </c>
      <c r="B71" s="143"/>
      <c r="C71" s="35" t="s">
        <v>276</v>
      </c>
      <c r="E71" s="18" t="s">
        <v>1336</v>
      </c>
      <c r="F71" s="16" t="s">
        <v>111</v>
      </c>
      <c r="G71" s="20" t="s">
        <v>1527</v>
      </c>
      <c r="H71" s="29" t="s">
        <v>277</v>
      </c>
      <c r="I71" s="30" t="s">
        <v>66</v>
      </c>
      <c r="J71" s="38" t="s">
        <v>2252</v>
      </c>
      <c r="K71" s="38" t="s">
        <v>361</v>
      </c>
      <c r="L71" s="133" t="s">
        <v>325</v>
      </c>
      <c r="M71" s="696">
        <v>6.99</v>
      </c>
      <c r="N71" s="19">
        <v>1</v>
      </c>
      <c r="O71" s="228">
        <v>100</v>
      </c>
      <c r="P71" s="620">
        <f>CONVERT(31,"g","lbm")</f>
        <v>6.8343301277312044E-2</v>
      </c>
      <c r="Q71" s="621">
        <v>2.5</v>
      </c>
      <c r="R71" s="621">
        <v>2.5</v>
      </c>
      <c r="S71" s="623">
        <v>3.75</v>
      </c>
      <c r="T71" s="46">
        <v>0.1</v>
      </c>
      <c r="U71" s="35">
        <v>3</v>
      </c>
      <c r="V71" s="35">
        <v>2.5</v>
      </c>
      <c r="W71" s="72">
        <v>4</v>
      </c>
      <c r="X71" s="46" t="s">
        <v>66</v>
      </c>
      <c r="Y71" s="35" t="s">
        <v>66</v>
      </c>
      <c r="Z71" s="35" t="s">
        <v>66</v>
      </c>
      <c r="AA71" s="72" t="s">
        <v>66</v>
      </c>
      <c r="AB71" s="46">
        <v>9.26</v>
      </c>
      <c r="AC71" s="35">
        <v>14.57</v>
      </c>
      <c r="AD71" s="35">
        <v>14.57</v>
      </c>
      <c r="AE71" s="72">
        <v>15.35</v>
      </c>
      <c r="AF71" s="46">
        <f>AC71*AD71*AE71/(12^3)</f>
        <v>1.8857483883101853</v>
      </c>
      <c r="AG71" s="157" t="s">
        <v>1259</v>
      </c>
      <c r="AH71" s="161" t="s">
        <v>1257</v>
      </c>
      <c r="AI71" s="161" t="s">
        <v>1256</v>
      </c>
      <c r="AJ71" s="161" t="s">
        <v>1258</v>
      </c>
      <c r="AK71" s="48" t="s">
        <v>1352</v>
      </c>
      <c r="AL71" s="161"/>
      <c r="AM71" s="48"/>
      <c r="AN71" s="48"/>
      <c r="AO71" s="158" t="s">
        <v>1255</v>
      </c>
      <c r="AP71" s="161" t="s">
        <v>1247</v>
      </c>
      <c r="AQ71" s="48"/>
    </row>
    <row r="72" spans="1:264" s="16" customFormat="1" x14ac:dyDescent="0.25">
      <c r="A72" s="16" t="s">
        <v>152</v>
      </c>
      <c r="B72" s="143"/>
      <c r="C72" s="35" t="s">
        <v>186</v>
      </c>
      <c r="E72" s="18" t="s">
        <v>1337</v>
      </c>
      <c r="F72" s="16" t="s">
        <v>111</v>
      </c>
      <c r="G72" s="20" t="s">
        <v>1527</v>
      </c>
      <c r="H72" s="31" t="s">
        <v>33</v>
      </c>
      <c r="I72" s="30" t="s">
        <v>66</v>
      </c>
      <c r="J72" s="30" t="s">
        <v>2253</v>
      </c>
      <c r="K72" s="38" t="s">
        <v>361</v>
      </c>
      <c r="L72" s="133" t="s">
        <v>325</v>
      </c>
      <c r="M72" s="696">
        <v>9.99</v>
      </c>
      <c r="N72" s="19">
        <v>1</v>
      </c>
      <c r="O72" s="228">
        <v>100</v>
      </c>
      <c r="P72" s="620">
        <f>CONVERT(45,"g","lbm")</f>
        <v>9.920801798319491E-2</v>
      </c>
      <c r="Q72" s="621">
        <v>2.5</v>
      </c>
      <c r="R72" s="621">
        <v>2.5</v>
      </c>
      <c r="S72" s="623">
        <v>5.75</v>
      </c>
      <c r="T72" s="46">
        <v>8.7999999999999995E-2</v>
      </c>
      <c r="U72" s="35">
        <v>3</v>
      </c>
      <c r="V72" s="35">
        <v>2.5</v>
      </c>
      <c r="W72" s="72">
        <v>5.25</v>
      </c>
      <c r="X72" s="46" t="s">
        <v>66</v>
      </c>
      <c r="Y72" s="35" t="s">
        <v>66</v>
      </c>
      <c r="Z72" s="35" t="s">
        <v>66</v>
      </c>
      <c r="AA72" s="72" t="s">
        <v>66</v>
      </c>
      <c r="AB72" s="46">
        <f>CONVERT(5000,"g","lbm")</f>
        <v>11.023113109243878</v>
      </c>
      <c r="AC72" s="35">
        <f>CONVERT(0.37,"m","in")</f>
        <v>14.566929133858268</v>
      </c>
      <c r="AD72" s="35">
        <f>CONVERT(0.37,"m","in")</f>
        <v>14.566929133858268</v>
      </c>
      <c r="AE72" s="72">
        <f>CONVERT(0.56,"m","in")</f>
        <v>22.047244094488192</v>
      </c>
      <c r="AF72" s="46">
        <f>AC72*AD72*AE72/(12^3)</f>
        <v>2.7073636095362019</v>
      </c>
      <c r="AG72" s="157" t="s">
        <v>1260</v>
      </c>
      <c r="AH72" s="161" t="s">
        <v>1257</v>
      </c>
      <c r="AI72" s="161" t="s">
        <v>1256</v>
      </c>
      <c r="AJ72" s="161" t="s">
        <v>1258</v>
      </c>
      <c r="AK72" s="48" t="s">
        <v>1353</v>
      </c>
      <c r="AL72" s="161"/>
      <c r="AM72" s="48"/>
      <c r="AN72" s="48"/>
      <c r="AO72" s="158" t="s">
        <v>1255</v>
      </c>
      <c r="AP72" s="161" t="s">
        <v>1247</v>
      </c>
      <c r="AQ72" s="48"/>
    </row>
    <row r="73" spans="1:264" s="16" customFormat="1" x14ac:dyDescent="0.25">
      <c r="A73" s="16" t="s">
        <v>152</v>
      </c>
      <c r="B73" s="143"/>
      <c r="C73" s="35" t="s">
        <v>139</v>
      </c>
      <c r="E73" s="18" t="s">
        <v>1338</v>
      </c>
      <c r="F73" s="16" t="s">
        <v>111</v>
      </c>
      <c r="G73" s="20" t="s">
        <v>1527</v>
      </c>
      <c r="H73" s="31" t="s">
        <v>1195</v>
      </c>
      <c r="I73" s="30" t="s">
        <v>66</v>
      </c>
      <c r="J73" s="140"/>
      <c r="K73" s="38" t="s">
        <v>361</v>
      </c>
      <c r="L73" s="261" t="s">
        <v>325</v>
      </c>
      <c r="M73" s="696">
        <v>12.99</v>
      </c>
      <c r="N73" s="19">
        <v>1</v>
      </c>
      <c r="O73" s="228">
        <v>50</v>
      </c>
      <c r="P73" s="620">
        <f>CONVERT(133,"g","lbm")</f>
        <v>0.29321480870588718</v>
      </c>
      <c r="Q73" s="621">
        <v>3.5</v>
      </c>
      <c r="R73" s="621">
        <v>3.5</v>
      </c>
      <c r="S73" s="623">
        <v>9</v>
      </c>
      <c r="T73" s="46">
        <v>0.3</v>
      </c>
      <c r="U73" s="35">
        <v>6</v>
      </c>
      <c r="V73" s="35">
        <v>3.5</v>
      </c>
      <c r="W73" s="72">
        <v>8</v>
      </c>
      <c r="X73" s="46" t="s">
        <v>66</v>
      </c>
      <c r="Y73" s="35" t="s">
        <v>66</v>
      </c>
      <c r="Z73" s="35" t="s">
        <v>66</v>
      </c>
      <c r="AA73" s="72" t="s">
        <v>66</v>
      </c>
      <c r="AB73" s="46">
        <v>19.84</v>
      </c>
      <c r="AC73" s="35">
        <v>24.41</v>
      </c>
      <c r="AD73" s="35">
        <v>24.41</v>
      </c>
      <c r="AE73" s="72">
        <v>18.899999999999999</v>
      </c>
      <c r="AF73" s="46">
        <f>AC73*AD73*AE73/(12^3)</f>
        <v>6.5170885937499996</v>
      </c>
      <c r="AG73" s="157" t="s">
        <v>1261</v>
      </c>
      <c r="AH73" s="161" t="s">
        <v>1257</v>
      </c>
      <c r="AI73" s="161" t="s">
        <v>1256</v>
      </c>
      <c r="AJ73" s="161" t="s">
        <v>1258</v>
      </c>
      <c r="AK73" s="48" t="s">
        <v>1354</v>
      </c>
      <c r="AL73" s="161"/>
      <c r="AM73" s="48"/>
      <c r="AN73" s="48"/>
      <c r="AO73" s="158" t="s">
        <v>1255</v>
      </c>
      <c r="AP73" s="161" t="s">
        <v>1247</v>
      </c>
      <c r="AQ73" s="48"/>
    </row>
    <row r="74" spans="1:264" s="16" customFormat="1" x14ac:dyDescent="0.25">
      <c r="A74" s="16" t="s">
        <v>152</v>
      </c>
      <c r="B74" s="143"/>
      <c r="C74" s="17" t="s">
        <v>16</v>
      </c>
      <c r="D74" s="17"/>
      <c r="E74" s="47" t="s">
        <v>1174</v>
      </c>
      <c r="F74" s="47"/>
      <c r="G74" s="20" t="s">
        <v>1528</v>
      </c>
      <c r="H74" s="56" t="s">
        <v>18</v>
      </c>
      <c r="I74" s="30" t="s">
        <v>66</v>
      </c>
      <c r="J74" s="30" t="s">
        <v>66</v>
      </c>
      <c r="K74" s="38" t="s">
        <v>360</v>
      </c>
      <c r="L74" s="261" t="s">
        <v>326</v>
      </c>
      <c r="M74" s="696">
        <v>3.99</v>
      </c>
      <c r="N74" s="19">
        <v>1</v>
      </c>
      <c r="O74" s="228" t="s">
        <v>66</v>
      </c>
      <c r="P74" s="620">
        <f>CONVERT(9,"g","lbm")</f>
        <v>1.9841603596638981E-2</v>
      </c>
      <c r="Q74" s="621">
        <v>3.25</v>
      </c>
      <c r="R74" s="621">
        <v>0.75</v>
      </c>
      <c r="S74" s="623">
        <v>2.875</v>
      </c>
      <c r="T74" s="245">
        <v>0.05</v>
      </c>
      <c r="U74" s="154">
        <v>4</v>
      </c>
      <c r="V74" s="154">
        <v>0.75</v>
      </c>
      <c r="W74" s="155">
        <v>6</v>
      </c>
      <c r="X74" s="46" t="s">
        <v>66</v>
      </c>
      <c r="Y74" s="35" t="s">
        <v>66</v>
      </c>
      <c r="Z74" s="35" t="s">
        <v>66</v>
      </c>
      <c r="AA74" s="72" t="s">
        <v>66</v>
      </c>
      <c r="AB74" s="46" t="s">
        <v>66</v>
      </c>
      <c r="AC74" s="35" t="s">
        <v>66</v>
      </c>
      <c r="AD74" s="35" t="s">
        <v>66</v>
      </c>
      <c r="AE74" s="72" t="s">
        <v>66</v>
      </c>
      <c r="AF74" s="46"/>
      <c r="AG74" s="161" t="s">
        <v>1177</v>
      </c>
      <c r="AH74" s="161" t="s">
        <v>1178</v>
      </c>
      <c r="AI74" s="98" t="s">
        <v>1179</v>
      </c>
      <c r="AJ74" s="98" t="s">
        <v>1356</v>
      </c>
      <c r="AK74" s="161"/>
      <c r="AL74" s="161"/>
      <c r="AM74" s="161"/>
      <c r="AN74" s="161"/>
      <c r="AO74" s="161" t="s">
        <v>1180</v>
      </c>
      <c r="AP74" s="161" t="s">
        <v>107</v>
      </c>
      <c r="AQ74" s="161" t="s">
        <v>1247</v>
      </c>
    </row>
    <row r="75" spans="1:264" s="16" customFormat="1" x14ac:dyDescent="0.25">
      <c r="A75" s="16" t="s">
        <v>152</v>
      </c>
      <c r="B75" s="143"/>
      <c r="C75" s="17" t="s">
        <v>17</v>
      </c>
      <c r="D75" s="17"/>
      <c r="E75" s="47" t="s">
        <v>1175</v>
      </c>
      <c r="F75" s="47"/>
      <c r="G75" s="20" t="s">
        <v>1528</v>
      </c>
      <c r="H75" s="10" t="s">
        <v>346</v>
      </c>
      <c r="I75" s="30" t="s">
        <v>66</v>
      </c>
      <c r="J75" s="356">
        <v>20054269000510</v>
      </c>
      <c r="K75" s="38" t="s">
        <v>360</v>
      </c>
      <c r="L75" s="133" t="s">
        <v>325</v>
      </c>
      <c r="M75" s="696">
        <v>9.99</v>
      </c>
      <c r="N75" s="19">
        <v>1</v>
      </c>
      <c r="O75" s="228">
        <v>400</v>
      </c>
      <c r="P75" s="620">
        <f>CONVERT(28,"g","lbm")</f>
        <v>6.1729433411765719E-2</v>
      </c>
      <c r="Q75" s="621">
        <v>6</v>
      </c>
      <c r="R75" s="621">
        <v>0.25</v>
      </c>
      <c r="S75" s="623">
        <v>3</v>
      </c>
      <c r="T75" s="245">
        <v>0.1</v>
      </c>
      <c r="U75" s="154">
        <v>6.75</v>
      </c>
      <c r="V75" s="154">
        <v>0.05</v>
      </c>
      <c r="W75" s="155">
        <v>7</v>
      </c>
      <c r="X75" s="46" t="s">
        <v>66</v>
      </c>
      <c r="Y75" s="35" t="s">
        <v>66</v>
      </c>
      <c r="Z75" s="35" t="s">
        <v>66</v>
      </c>
      <c r="AA75" s="72" t="s">
        <v>66</v>
      </c>
      <c r="AB75" s="46">
        <f>CONVERT(14500,"g","lbm")</f>
        <v>31.967028016807248</v>
      </c>
      <c r="AC75" s="35">
        <v>18.25</v>
      </c>
      <c r="AD75" s="35">
        <v>14.25</v>
      </c>
      <c r="AE75" s="72">
        <v>8</v>
      </c>
      <c r="AF75" s="46">
        <f>AC75*AD75*AE75/(12^3)</f>
        <v>1.2039930555555556</v>
      </c>
      <c r="AG75" s="161" t="s">
        <v>1177</v>
      </c>
      <c r="AH75" s="161" t="s">
        <v>1181</v>
      </c>
      <c r="AI75" s="161" t="s">
        <v>1182</v>
      </c>
      <c r="AJ75" s="161" t="s">
        <v>1183</v>
      </c>
      <c r="AK75" s="98" t="s">
        <v>1355</v>
      </c>
      <c r="AL75" s="161"/>
      <c r="AM75" s="161"/>
      <c r="AN75" s="161"/>
      <c r="AO75" s="161" t="s">
        <v>1184</v>
      </c>
      <c r="AP75" s="161" t="s">
        <v>1247</v>
      </c>
      <c r="AQ75" s="48"/>
    </row>
    <row r="76" spans="1:264" s="16" customFormat="1" x14ac:dyDescent="0.25">
      <c r="A76" s="16" t="s">
        <v>152</v>
      </c>
      <c r="B76" s="143"/>
      <c r="C76" s="52" t="s">
        <v>188</v>
      </c>
      <c r="D76" s="22"/>
      <c r="E76" s="47" t="s">
        <v>1339</v>
      </c>
      <c r="F76" s="22"/>
      <c r="G76" s="20" t="s">
        <v>1528</v>
      </c>
      <c r="H76" s="55" t="s">
        <v>189</v>
      </c>
      <c r="I76" s="30" t="s">
        <v>66</v>
      </c>
      <c r="J76" s="30" t="s">
        <v>66</v>
      </c>
      <c r="K76" s="38" t="s">
        <v>108</v>
      </c>
      <c r="L76" s="261" t="s">
        <v>326</v>
      </c>
      <c r="M76" s="697">
        <v>11.99</v>
      </c>
      <c r="N76" s="19">
        <v>1</v>
      </c>
      <c r="O76" s="228" t="s">
        <v>66</v>
      </c>
      <c r="P76" s="620">
        <v>6.25E-2</v>
      </c>
      <c r="Q76" s="621">
        <v>1.875</v>
      </c>
      <c r="R76" s="621">
        <v>1.875</v>
      </c>
      <c r="S76" s="623">
        <v>1</v>
      </c>
      <c r="T76" s="245">
        <v>8.7999999999999995E-2</v>
      </c>
      <c r="U76" s="154">
        <v>4.25</v>
      </c>
      <c r="V76" s="154">
        <v>1</v>
      </c>
      <c r="W76" s="155">
        <v>8.25</v>
      </c>
      <c r="X76" s="46" t="s">
        <v>66</v>
      </c>
      <c r="Y76" s="35" t="s">
        <v>66</v>
      </c>
      <c r="Z76" s="35" t="s">
        <v>66</v>
      </c>
      <c r="AA76" s="72" t="s">
        <v>66</v>
      </c>
      <c r="AB76" s="46" t="s">
        <v>66</v>
      </c>
      <c r="AC76" s="35" t="s">
        <v>66</v>
      </c>
      <c r="AD76" s="35" t="s">
        <v>66</v>
      </c>
      <c r="AE76" s="72" t="s">
        <v>66</v>
      </c>
      <c r="AF76" s="46"/>
      <c r="AG76" s="164" t="s">
        <v>1185</v>
      </c>
      <c r="AH76" s="161" t="s">
        <v>1186</v>
      </c>
      <c r="AI76" s="161"/>
      <c r="AJ76" s="161"/>
      <c r="AK76" s="161"/>
      <c r="AL76" s="161"/>
      <c r="AM76" s="161"/>
      <c r="AN76" s="161"/>
      <c r="AO76" s="165" t="s">
        <v>1187</v>
      </c>
      <c r="AP76" s="161" t="s">
        <v>107</v>
      </c>
      <c r="AQ76" s="161" t="s">
        <v>1247</v>
      </c>
      <c r="AR76" s="22"/>
      <c r="AS76" s="22"/>
      <c r="AT76" s="52"/>
      <c r="AU76" s="22"/>
      <c r="AV76" s="22"/>
      <c r="AW76" s="22"/>
      <c r="AX76" s="52"/>
      <c r="AY76" s="22"/>
      <c r="AZ76" s="22"/>
      <c r="BA76" s="22"/>
      <c r="BB76" s="52"/>
      <c r="BC76" s="22"/>
      <c r="BD76" s="22"/>
      <c r="BE76" s="22"/>
      <c r="BF76" s="52"/>
      <c r="BG76" s="22"/>
      <c r="BH76" s="22"/>
      <c r="BI76" s="22"/>
      <c r="BJ76" s="52"/>
      <c r="BK76" s="22"/>
      <c r="BL76" s="22"/>
      <c r="BM76" s="22"/>
      <c r="BN76" s="52"/>
      <c r="BO76" s="22"/>
      <c r="BP76" s="22"/>
      <c r="BQ76" s="22"/>
      <c r="BR76" s="52"/>
      <c r="BS76" s="22"/>
      <c r="BT76" s="22"/>
      <c r="BU76" s="22"/>
      <c r="BV76" s="52"/>
      <c r="BW76" s="22"/>
      <c r="BX76" s="22"/>
      <c r="BY76" s="22"/>
      <c r="BZ76" s="52"/>
      <c r="CA76" s="22"/>
      <c r="CB76" s="22"/>
      <c r="CC76" s="22"/>
      <c r="CD76" s="52"/>
      <c r="CE76" s="22"/>
      <c r="CF76" s="22"/>
      <c r="CG76" s="22"/>
      <c r="CH76" s="52"/>
      <c r="CI76" s="22"/>
      <c r="CJ76" s="22"/>
      <c r="CK76" s="22"/>
      <c r="CL76" s="52"/>
      <c r="CM76" s="22"/>
      <c r="CN76" s="22"/>
      <c r="CO76" s="22"/>
      <c r="CP76" s="52"/>
      <c r="CQ76" s="22"/>
      <c r="CR76" s="22"/>
      <c r="CS76" s="22"/>
      <c r="CT76" s="52"/>
      <c r="CU76" s="22"/>
      <c r="CV76" s="22"/>
      <c r="CW76" s="22"/>
      <c r="CX76" s="52"/>
      <c r="CY76" s="22"/>
      <c r="CZ76" s="22"/>
      <c r="DA76" s="22"/>
      <c r="DB76" s="52"/>
      <c r="DC76" s="22"/>
      <c r="DD76" s="22"/>
      <c r="DE76" s="22"/>
      <c r="DF76" s="52"/>
      <c r="DG76" s="22"/>
      <c r="DH76" s="22"/>
      <c r="DI76" s="22"/>
      <c r="DJ76" s="52"/>
      <c r="DK76" s="22"/>
      <c r="DL76" s="22"/>
      <c r="DM76" s="22"/>
      <c r="DN76" s="52"/>
      <c r="DO76" s="22"/>
      <c r="DP76" s="22"/>
      <c r="DQ76" s="22"/>
      <c r="DR76" s="52"/>
      <c r="DS76" s="22"/>
      <c r="DT76" s="22"/>
      <c r="DU76" s="22"/>
      <c r="DV76" s="52"/>
      <c r="DW76" s="22"/>
      <c r="DX76" s="22"/>
      <c r="DY76" s="22"/>
      <c r="DZ76" s="52"/>
      <c r="EA76" s="22"/>
      <c r="EB76" s="22"/>
      <c r="EC76" s="22"/>
      <c r="ED76" s="52"/>
      <c r="EE76" s="22"/>
      <c r="EF76" s="22"/>
      <c r="EG76" s="22"/>
      <c r="EH76" s="52"/>
      <c r="EI76" s="22"/>
      <c r="EJ76" s="22"/>
      <c r="EK76" s="22"/>
      <c r="EL76" s="52"/>
      <c r="EM76" s="22"/>
      <c r="EN76" s="22"/>
      <c r="EO76" s="22"/>
      <c r="EP76" s="52"/>
      <c r="EQ76" s="22"/>
      <c r="ER76" s="22"/>
      <c r="ES76" s="22"/>
      <c r="ET76" s="52"/>
      <c r="EU76" s="22"/>
      <c r="EV76" s="22"/>
      <c r="EW76" s="22"/>
      <c r="EX76" s="52"/>
      <c r="EY76" s="22"/>
      <c r="EZ76" s="22"/>
      <c r="FA76" s="22"/>
      <c r="FB76" s="52"/>
      <c r="FC76" s="22"/>
      <c r="FD76" s="22"/>
      <c r="FE76" s="22"/>
      <c r="FF76" s="52"/>
      <c r="FG76" s="22"/>
      <c r="FH76" s="22"/>
      <c r="FI76" s="22"/>
      <c r="FJ76" s="52"/>
      <c r="FK76" s="22"/>
      <c r="FL76" s="22"/>
      <c r="FM76" s="22"/>
      <c r="FN76" s="52"/>
      <c r="FO76" s="22"/>
      <c r="FP76" s="22"/>
      <c r="FQ76" s="22"/>
      <c r="FR76" s="52"/>
      <c r="FS76" s="22"/>
      <c r="FT76" s="22"/>
      <c r="FU76" s="22"/>
      <c r="FV76" s="52"/>
      <c r="FW76" s="22"/>
      <c r="FX76" s="22"/>
      <c r="FY76" s="22"/>
      <c r="FZ76" s="52"/>
      <c r="GA76" s="22"/>
      <c r="GB76" s="22"/>
      <c r="GC76" s="22"/>
      <c r="GD76" s="52"/>
      <c r="GE76" s="22"/>
      <c r="GF76" s="22"/>
      <c r="GG76" s="22"/>
      <c r="GH76" s="52"/>
      <c r="GI76" s="22"/>
      <c r="GJ76" s="22"/>
      <c r="GK76" s="22"/>
      <c r="GL76" s="52"/>
      <c r="GM76" s="22"/>
      <c r="GN76" s="22"/>
      <c r="GO76" s="22"/>
      <c r="GP76" s="52"/>
      <c r="GQ76" s="22"/>
      <c r="GR76" s="22"/>
      <c r="GS76" s="22"/>
      <c r="GT76" s="52"/>
      <c r="GU76" s="22"/>
      <c r="GV76" s="22"/>
      <c r="GW76" s="22"/>
      <c r="GX76" s="52"/>
      <c r="GY76" s="22"/>
      <c r="GZ76" s="22"/>
      <c r="HA76" s="22"/>
      <c r="HB76" s="52"/>
      <c r="HC76" s="22"/>
      <c r="HD76" s="22"/>
      <c r="HE76" s="22"/>
      <c r="HF76" s="52"/>
      <c r="HG76" s="22"/>
      <c r="HH76" s="22"/>
      <c r="HI76" s="22"/>
      <c r="HJ76" s="52"/>
      <c r="HK76" s="22"/>
      <c r="HL76" s="22"/>
      <c r="HM76" s="22"/>
      <c r="HN76" s="52"/>
      <c r="HO76" s="22"/>
      <c r="HP76" s="22"/>
      <c r="HQ76" s="22"/>
      <c r="HR76" s="52"/>
      <c r="HS76" s="22"/>
      <c r="HT76" s="22"/>
      <c r="HU76" s="22"/>
      <c r="HV76" s="52"/>
      <c r="HW76" s="22"/>
      <c r="HX76" s="22"/>
      <c r="HY76" s="22"/>
      <c r="HZ76" s="52"/>
      <c r="IA76" s="22"/>
      <c r="IB76" s="22"/>
      <c r="IC76" s="22"/>
      <c r="ID76" s="52"/>
      <c r="IE76" s="22"/>
      <c r="IF76" s="22"/>
      <c r="IG76" s="22"/>
      <c r="IH76" s="52"/>
      <c r="II76" s="22"/>
      <c r="IJ76" s="22"/>
      <c r="IK76" s="22"/>
      <c r="IL76" s="52"/>
      <c r="IM76" s="22"/>
      <c r="IN76" s="22"/>
      <c r="IO76" s="22"/>
      <c r="IP76" s="52"/>
      <c r="IQ76" s="22"/>
      <c r="IR76" s="22"/>
      <c r="IS76" s="22"/>
      <c r="IT76" s="52"/>
      <c r="IU76" s="22"/>
      <c r="IV76" s="22"/>
      <c r="IW76" s="22"/>
      <c r="IX76" s="52"/>
      <c r="IY76" s="22"/>
      <c r="IZ76" s="22"/>
      <c r="JA76" s="22"/>
      <c r="JB76" s="52"/>
      <c r="JC76" s="22"/>
      <c r="JD76" s="22"/>
    </row>
    <row r="77" spans="1:264" s="16" customFormat="1" x14ac:dyDescent="0.25">
      <c r="A77" s="16" t="s">
        <v>152</v>
      </c>
      <c r="B77" s="143"/>
      <c r="C77" s="22" t="s">
        <v>190</v>
      </c>
      <c r="E77" s="22" t="s">
        <v>1176</v>
      </c>
      <c r="F77" s="22"/>
      <c r="G77" s="20" t="s">
        <v>1528</v>
      </c>
      <c r="H77" s="55" t="s">
        <v>191</v>
      </c>
      <c r="I77" s="30" t="s">
        <v>66</v>
      </c>
      <c r="J77" s="30" t="s">
        <v>66</v>
      </c>
      <c r="K77" s="31" t="s">
        <v>360</v>
      </c>
      <c r="L77" s="261" t="s">
        <v>326</v>
      </c>
      <c r="M77" s="697">
        <v>8.99</v>
      </c>
      <c r="N77" s="19">
        <v>1</v>
      </c>
      <c r="O77" s="228" t="s">
        <v>66</v>
      </c>
      <c r="P77" s="620">
        <f>CONVERT(28,"g","lbm")</f>
        <v>6.1729433411765719E-2</v>
      </c>
      <c r="Q77" s="628">
        <v>3.5</v>
      </c>
      <c r="R77" s="628">
        <v>4</v>
      </c>
      <c r="S77" s="629"/>
      <c r="T77" s="511">
        <v>0.05</v>
      </c>
      <c r="U77" s="149">
        <v>6</v>
      </c>
      <c r="V77" s="149">
        <v>4</v>
      </c>
      <c r="W77" s="150">
        <v>0.05</v>
      </c>
      <c r="X77" s="46" t="s">
        <v>66</v>
      </c>
      <c r="Y77" s="35" t="s">
        <v>66</v>
      </c>
      <c r="Z77" s="35" t="s">
        <v>66</v>
      </c>
      <c r="AA77" s="72" t="s">
        <v>66</v>
      </c>
      <c r="AB77" s="46" t="s">
        <v>66</v>
      </c>
      <c r="AC77" s="35" t="s">
        <v>66</v>
      </c>
      <c r="AD77" s="35" t="s">
        <v>66</v>
      </c>
      <c r="AE77" s="72" t="s">
        <v>66</v>
      </c>
      <c r="AF77" s="46"/>
      <c r="AG77" s="161" t="s">
        <v>1188</v>
      </c>
      <c r="AH77" s="161" t="s">
        <v>1178</v>
      </c>
      <c r="AI77" s="161" t="s">
        <v>1189</v>
      </c>
      <c r="AJ77" s="98" t="s">
        <v>1355</v>
      </c>
      <c r="AK77" s="161"/>
      <c r="AL77" s="161"/>
      <c r="AM77" s="161"/>
      <c r="AN77" s="161"/>
      <c r="AO77" s="161" t="s">
        <v>1190</v>
      </c>
      <c r="AP77" s="161" t="s">
        <v>107</v>
      </c>
      <c r="AQ77" s="161" t="s">
        <v>1247</v>
      </c>
      <c r="AR77" s="22"/>
      <c r="AS77" s="22"/>
      <c r="AT77" s="52"/>
      <c r="AU77" s="22"/>
      <c r="AV77" s="22"/>
      <c r="AW77" s="22"/>
      <c r="AX77" s="52"/>
      <c r="AY77" s="22"/>
      <c r="AZ77" s="22"/>
      <c r="BA77" s="22"/>
      <c r="BB77" s="52"/>
      <c r="BC77" s="22"/>
      <c r="BD77" s="22"/>
      <c r="BE77" s="22"/>
      <c r="BF77" s="52"/>
      <c r="BG77" s="22"/>
      <c r="BH77" s="22"/>
      <c r="BI77" s="22"/>
      <c r="BJ77" s="52"/>
      <c r="BK77" s="22"/>
      <c r="BL77" s="22"/>
      <c r="BM77" s="22"/>
      <c r="BN77" s="52"/>
      <c r="BO77" s="22"/>
      <c r="BP77" s="22"/>
      <c r="BQ77" s="22"/>
      <c r="BR77" s="52"/>
      <c r="BS77" s="22"/>
      <c r="BT77" s="22"/>
      <c r="BU77" s="22"/>
      <c r="BV77" s="52"/>
      <c r="BW77" s="22"/>
      <c r="BX77" s="22"/>
      <c r="BY77" s="22"/>
      <c r="BZ77" s="52"/>
      <c r="CA77" s="22"/>
      <c r="CB77" s="22"/>
      <c r="CC77" s="22"/>
      <c r="CD77" s="52"/>
      <c r="CE77" s="22"/>
      <c r="CF77" s="22"/>
      <c r="CG77" s="22"/>
      <c r="CH77" s="52"/>
      <c r="CI77" s="22"/>
      <c r="CJ77" s="22"/>
      <c r="CK77" s="22"/>
      <c r="CL77" s="52"/>
      <c r="CM77" s="22"/>
      <c r="CN77" s="22"/>
      <c r="CO77" s="22"/>
      <c r="CP77" s="52"/>
      <c r="CQ77" s="22"/>
      <c r="CR77" s="22"/>
      <c r="CS77" s="22"/>
      <c r="CT77" s="52"/>
      <c r="CU77" s="22"/>
      <c r="CV77" s="22"/>
      <c r="CW77" s="22"/>
      <c r="CX77" s="52"/>
      <c r="CY77" s="22"/>
      <c r="CZ77" s="22"/>
      <c r="DA77" s="22"/>
      <c r="DB77" s="52"/>
      <c r="DC77" s="22"/>
      <c r="DD77" s="22"/>
      <c r="DE77" s="22"/>
      <c r="DF77" s="52"/>
      <c r="DG77" s="22"/>
      <c r="DH77" s="22"/>
      <c r="DI77" s="22"/>
      <c r="DJ77" s="52"/>
      <c r="DK77" s="22"/>
      <c r="DL77" s="22"/>
      <c r="DM77" s="22"/>
      <c r="DN77" s="52"/>
      <c r="DO77" s="22"/>
      <c r="DP77" s="22"/>
      <c r="DQ77" s="22"/>
      <c r="DR77" s="52"/>
      <c r="DS77" s="22"/>
      <c r="DT77" s="22"/>
      <c r="DU77" s="22"/>
      <c r="DV77" s="52"/>
      <c r="DW77" s="22"/>
      <c r="DX77" s="22"/>
      <c r="DY77" s="22"/>
      <c r="DZ77" s="52"/>
      <c r="EA77" s="22"/>
      <c r="EB77" s="22"/>
      <c r="EC77" s="22"/>
      <c r="ED77" s="52"/>
      <c r="EE77" s="22"/>
      <c r="EF77" s="22"/>
      <c r="EG77" s="22"/>
      <c r="EH77" s="52"/>
      <c r="EI77" s="22"/>
      <c r="EJ77" s="22"/>
      <c r="EK77" s="22"/>
      <c r="EL77" s="52"/>
      <c r="EM77" s="22"/>
      <c r="EN77" s="22"/>
      <c r="EO77" s="22"/>
      <c r="EP77" s="52"/>
      <c r="EQ77" s="22"/>
      <c r="ER77" s="22"/>
      <c r="ES77" s="22"/>
      <c r="ET77" s="52"/>
      <c r="EU77" s="22"/>
      <c r="EV77" s="22"/>
      <c r="EW77" s="22"/>
      <c r="EX77" s="52"/>
      <c r="EY77" s="22"/>
      <c r="EZ77" s="22"/>
      <c r="FA77" s="22"/>
      <c r="FB77" s="52"/>
      <c r="FC77" s="22"/>
      <c r="FD77" s="22"/>
      <c r="FE77" s="22"/>
      <c r="FF77" s="52"/>
      <c r="FG77" s="22"/>
      <c r="FH77" s="22"/>
      <c r="FI77" s="22"/>
      <c r="FJ77" s="52"/>
      <c r="FK77" s="22"/>
      <c r="FL77" s="22"/>
      <c r="FM77" s="22"/>
      <c r="FN77" s="52"/>
      <c r="FO77" s="22"/>
      <c r="FP77" s="22"/>
      <c r="FQ77" s="22"/>
      <c r="FR77" s="52"/>
      <c r="FS77" s="22"/>
      <c r="FT77" s="22"/>
      <c r="FU77" s="22"/>
      <c r="FV77" s="52"/>
      <c r="FW77" s="22"/>
      <c r="FX77" s="22"/>
      <c r="FY77" s="22"/>
      <c r="FZ77" s="52"/>
      <c r="GA77" s="22"/>
      <c r="GB77" s="22"/>
      <c r="GC77" s="22"/>
      <c r="GD77" s="52"/>
      <c r="GE77" s="22"/>
      <c r="GF77" s="22"/>
      <c r="GG77" s="22"/>
      <c r="GH77" s="52"/>
      <c r="GI77" s="22"/>
      <c r="GJ77" s="22"/>
      <c r="GK77" s="22"/>
      <c r="GL77" s="52"/>
      <c r="GM77" s="22"/>
      <c r="GN77" s="22"/>
      <c r="GO77" s="22"/>
      <c r="GP77" s="52"/>
      <c r="GQ77" s="22"/>
      <c r="GR77" s="22"/>
      <c r="GS77" s="22"/>
      <c r="GT77" s="52"/>
      <c r="GU77" s="22"/>
      <c r="GV77" s="22"/>
      <c r="GW77" s="22"/>
      <c r="GX77" s="52"/>
      <c r="GY77" s="22"/>
      <c r="GZ77" s="22"/>
      <c r="HA77" s="22"/>
      <c r="HB77" s="52"/>
      <c r="HC77" s="22"/>
      <c r="HD77" s="22"/>
      <c r="HE77" s="22"/>
      <c r="HF77" s="52"/>
      <c r="HG77" s="22"/>
      <c r="HH77" s="22"/>
      <c r="HI77" s="22"/>
      <c r="HJ77" s="52"/>
      <c r="HK77" s="22"/>
      <c r="HL77" s="22"/>
      <c r="HM77" s="22"/>
      <c r="HN77" s="52"/>
      <c r="HO77" s="22"/>
      <c r="HP77" s="22"/>
      <c r="HQ77" s="22"/>
      <c r="HR77" s="52"/>
      <c r="HS77" s="22"/>
      <c r="HT77" s="22"/>
      <c r="HU77" s="22"/>
      <c r="HV77" s="52"/>
      <c r="HW77" s="22"/>
      <c r="HX77" s="22"/>
      <c r="HY77" s="22"/>
      <c r="HZ77" s="52"/>
      <c r="IA77" s="22"/>
      <c r="IB77" s="22"/>
      <c r="IC77" s="22"/>
      <c r="ID77" s="52"/>
      <c r="IE77" s="22"/>
      <c r="IF77" s="22"/>
      <c r="IG77" s="22"/>
      <c r="IH77" s="52"/>
      <c r="II77" s="22"/>
      <c r="IJ77" s="22"/>
      <c r="IK77" s="22"/>
      <c r="IL77" s="52"/>
      <c r="IM77" s="22"/>
      <c r="IN77" s="22"/>
      <c r="IO77" s="22"/>
      <c r="IP77" s="52"/>
      <c r="IQ77" s="22"/>
      <c r="IR77" s="22"/>
      <c r="IS77" s="22"/>
      <c r="IT77" s="52"/>
      <c r="IU77" s="22"/>
      <c r="IV77" s="22"/>
      <c r="IW77" s="22"/>
      <c r="IX77" s="52"/>
      <c r="IY77" s="22"/>
      <c r="IZ77" s="22"/>
      <c r="JA77" s="22"/>
      <c r="JB77" s="52"/>
      <c r="JC77" s="22"/>
      <c r="JD77" s="22"/>
    </row>
    <row r="78" spans="1:264" s="16" customFormat="1" x14ac:dyDescent="0.25">
      <c r="A78" s="16" t="s">
        <v>152</v>
      </c>
      <c r="B78" s="143"/>
      <c r="C78" s="39" t="s">
        <v>193</v>
      </c>
      <c r="D78" s="52"/>
      <c r="E78" s="22" t="s">
        <v>1196</v>
      </c>
      <c r="F78" s="22"/>
      <c r="G78" s="20" t="s">
        <v>1528</v>
      </c>
      <c r="H78" s="55" t="s">
        <v>197</v>
      </c>
      <c r="I78" s="30" t="s">
        <v>66</v>
      </c>
      <c r="J78" s="30" t="s">
        <v>66</v>
      </c>
      <c r="K78" s="31" t="s">
        <v>360</v>
      </c>
      <c r="L78" s="261" t="s">
        <v>326</v>
      </c>
      <c r="M78" s="698">
        <v>5.99</v>
      </c>
      <c r="N78" s="19">
        <v>1</v>
      </c>
      <c r="O78" s="228" t="s">
        <v>66</v>
      </c>
      <c r="P78" s="620">
        <v>6.25E-2</v>
      </c>
      <c r="Q78" s="621" t="s">
        <v>66</v>
      </c>
      <c r="R78" s="621" t="s">
        <v>66</v>
      </c>
      <c r="S78" s="623" t="s">
        <v>66</v>
      </c>
      <c r="T78" s="271">
        <v>0.05</v>
      </c>
      <c r="U78" s="151">
        <v>5</v>
      </c>
      <c r="V78" s="151">
        <v>2</v>
      </c>
      <c r="W78" s="152">
        <v>6.75</v>
      </c>
      <c r="X78" s="46" t="s">
        <v>66</v>
      </c>
      <c r="Y78" s="35" t="s">
        <v>66</v>
      </c>
      <c r="Z78" s="35" t="s">
        <v>66</v>
      </c>
      <c r="AA78" s="72" t="s">
        <v>66</v>
      </c>
      <c r="AB78" s="46" t="s">
        <v>66</v>
      </c>
      <c r="AC78" s="35" t="s">
        <v>66</v>
      </c>
      <c r="AD78" s="35" t="s">
        <v>66</v>
      </c>
      <c r="AE78" s="72" t="s">
        <v>66</v>
      </c>
      <c r="AF78" s="46"/>
      <c r="AG78" s="163" t="s">
        <v>1248</v>
      </c>
      <c r="AH78" s="164" t="s">
        <v>1185</v>
      </c>
      <c r="AI78" s="161"/>
      <c r="AJ78" s="161"/>
      <c r="AK78" s="161"/>
      <c r="AL78" s="161"/>
      <c r="AM78" s="48"/>
      <c r="AN78" s="161"/>
      <c r="AO78" s="158" t="s">
        <v>1249</v>
      </c>
      <c r="AP78" s="161" t="s">
        <v>107</v>
      </c>
      <c r="AQ78" s="161" t="s">
        <v>1247</v>
      </c>
      <c r="AR78" s="22"/>
      <c r="AS78" s="22"/>
      <c r="AT78" s="52"/>
      <c r="AU78" s="22"/>
      <c r="AV78" s="22"/>
      <c r="AW78" s="22"/>
      <c r="AX78" s="52"/>
      <c r="AY78" s="22"/>
      <c r="AZ78" s="22"/>
      <c r="BA78" s="22"/>
      <c r="BB78" s="52"/>
      <c r="BC78" s="22"/>
      <c r="BD78" s="22"/>
      <c r="BE78" s="22"/>
      <c r="BF78" s="52"/>
      <c r="BG78" s="22"/>
      <c r="BH78" s="22"/>
      <c r="BI78" s="22"/>
      <c r="BJ78" s="52"/>
      <c r="BK78" s="22"/>
      <c r="BL78" s="22"/>
      <c r="BM78" s="22"/>
      <c r="BN78" s="52"/>
      <c r="BO78" s="22"/>
      <c r="BP78" s="22"/>
      <c r="BQ78" s="22"/>
      <c r="BR78" s="52"/>
      <c r="BS78" s="22"/>
      <c r="BT78" s="22"/>
      <c r="BU78" s="22"/>
      <c r="BV78" s="52"/>
      <c r="BW78" s="22"/>
      <c r="BX78" s="22"/>
      <c r="BY78" s="22"/>
      <c r="BZ78" s="52"/>
      <c r="CA78" s="22"/>
      <c r="CB78" s="22"/>
      <c r="CC78" s="22"/>
      <c r="CD78" s="52"/>
      <c r="CE78" s="22"/>
      <c r="CF78" s="22"/>
      <c r="CG78" s="22"/>
      <c r="CH78" s="52"/>
      <c r="CI78" s="22"/>
      <c r="CJ78" s="22"/>
      <c r="CK78" s="22"/>
      <c r="CL78" s="52"/>
      <c r="CM78" s="22"/>
      <c r="CN78" s="22"/>
      <c r="CO78" s="22"/>
      <c r="CP78" s="52"/>
      <c r="CQ78" s="22"/>
      <c r="CR78" s="22"/>
      <c r="CS78" s="22"/>
      <c r="CT78" s="52"/>
      <c r="CU78" s="22"/>
      <c r="CV78" s="22"/>
      <c r="CW78" s="22"/>
      <c r="CX78" s="52"/>
      <c r="CY78" s="22"/>
      <c r="CZ78" s="22"/>
      <c r="DA78" s="22"/>
      <c r="DB78" s="52"/>
      <c r="DC78" s="22"/>
      <c r="DD78" s="22"/>
      <c r="DE78" s="22"/>
      <c r="DF78" s="52"/>
      <c r="DG78" s="22"/>
      <c r="DH78" s="22"/>
      <c r="DI78" s="22"/>
      <c r="DJ78" s="52"/>
      <c r="DK78" s="22"/>
      <c r="DL78" s="22"/>
      <c r="DM78" s="22"/>
      <c r="DN78" s="52"/>
      <c r="DO78" s="22"/>
      <c r="DP78" s="22"/>
      <c r="DQ78" s="22"/>
      <c r="DR78" s="52"/>
      <c r="DS78" s="22"/>
      <c r="DT78" s="22"/>
      <c r="DU78" s="22"/>
      <c r="DV78" s="52"/>
      <c r="DW78" s="22"/>
      <c r="DX78" s="22"/>
      <c r="DY78" s="22"/>
      <c r="DZ78" s="52"/>
      <c r="EA78" s="22"/>
      <c r="EB78" s="22"/>
      <c r="EC78" s="22"/>
      <c r="ED78" s="52"/>
      <c r="EE78" s="22"/>
      <c r="EF78" s="22"/>
      <c r="EG78" s="22"/>
      <c r="EH78" s="52"/>
      <c r="EI78" s="22"/>
      <c r="EJ78" s="22"/>
      <c r="EK78" s="22"/>
      <c r="EL78" s="52"/>
      <c r="EM78" s="22"/>
      <c r="EN78" s="22"/>
      <c r="EO78" s="22"/>
      <c r="EP78" s="52"/>
      <c r="EQ78" s="22"/>
      <c r="ER78" s="22"/>
      <c r="ES78" s="22"/>
      <c r="ET78" s="52"/>
      <c r="EU78" s="22"/>
      <c r="EV78" s="22"/>
      <c r="EW78" s="22"/>
      <c r="EX78" s="52"/>
      <c r="EY78" s="22"/>
      <c r="EZ78" s="22"/>
      <c r="FA78" s="22"/>
      <c r="FB78" s="52"/>
      <c r="FC78" s="22"/>
      <c r="FD78" s="22"/>
      <c r="FE78" s="22"/>
      <c r="FF78" s="52"/>
      <c r="FG78" s="22"/>
      <c r="FH78" s="22"/>
      <c r="FI78" s="22"/>
      <c r="FJ78" s="52"/>
      <c r="FK78" s="22"/>
      <c r="FL78" s="22"/>
      <c r="FM78" s="22"/>
      <c r="FN78" s="52"/>
      <c r="FO78" s="22"/>
      <c r="FP78" s="22"/>
      <c r="FQ78" s="22"/>
      <c r="FR78" s="52"/>
      <c r="FS78" s="22"/>
      <c r="FT78" s="22"/>
      <c r="FU78" s="22"/>
      <c r="FV78" s="52"/>
      <c r="FW78" s="22"/>
      <c r="FX78" s="22"/>
      <c r="FY78" s="22"/>
      <c r="FZ78" s="52"/>
      <c r="GA78" s="22"/>
      <c r="GB78" s="22"/>
      <c r="GC78" s="22"/>
      <c r="GD78" s="52"/>
      <c r="GE78" s="22"/>
      <c r="GF78" s="22"/>
      <c r="GG78" s="22"/>
      <c r="GH78" s="52"/>
      <c r="GI78" s="22"/>
      <c r="GJ78" s="22"/>
      <c r="GK78" s="22"/>
      <c r="GL78" s="52"/>
      <c r="GM78" s="22"/>
      <c r="GN78" s="22"/>
      <c r="GO78" s="22"/>
      <c r="GP78" s="52"/>
      <c r="GQ78" s="22"/>
      <c r="GR78" s="22"/>
      <c r="GS78" s="22"/>
      <c r="GT78" s="52"/>
      <c r="GU78" s="22"/>
      <c r="GV78" s="22"/>
      <c r="GW78" s="22"/>
      <c r="GX78" s="52"/>
      <c r="GY78" s="22"/>
      <c r="GZ78" s="22"/>
      <c r="HA78" s="22"/>
      <c r="HB78" s="52"/>
      <c r="HC78" s="22"/>
      <c r="HD78" s="22"/>
      <c r="HE78" s="22"/>
      <c r="HF78" s="52"/>
      <c r="HG78" s="22"/>
      <c r="HH78" s="22"/>
      <c r="HI78" s="22"/>
      <c r="HJ78" s="52"/>
      <c r="HK78" s="22"/>
      <c r="HL78" s="22"/>
      <c r="HM78" s="22"/>
      <c r="HN78" s="52"/>
      <c r="HO78" s="22"/>
      <c r="HP78" s="22"/>
      <c r="HQ78" s="22"/>
      <c r="HR78" s="52"/>
      <c r="HS78" s="22"/>
      <c r="HT78" s="22"/>
      <c r="HU78" s="22"/>
      <c r="HV78" s="52"/>
      <c r="HW78" s="22"/>
      <c r="HX78" s="22"/>
      <c r="HY78" s="22"/>
      <c r="HZ78" s="52"/>
      <c r="IA78" s="22"/>
      <c r="IB78" s="22"/>
      <c r="IC78" s="22"/>
      <c r="ID78" s="52"/>
      <c r="IE78" s="22"/>
      <c r="IF78" s="22"/>
      <c r="IG78" s="22"/>
      <c r="IH78" s="52"/>
      <c r="II78" s="22"/>
      <c r="IJ78" s="22"/>
      <c r="IK78" s="22"/>
      <c r="IL78" s="52"/>
      <c r="IM78" s="22"/>
      <c r="IN78" s="22"/>
      <c r="IO78" s="22"/>
      <c r="IP78" s="52"/>
      <c r="IQ78" s="22"/>
      <c r="IR78" s="22"/>
      <c r="IS78" s="22"/>
      <c r="IT78" s="52"/>
      <c r="IU78" s="22"/>
      <c r="IV78" s="22"/>
      <c r="IW78" s="22"/>
      <c r="IX78" s="52"/>
      <c r="IY78" s="22"/>
      <c r="IZ78" s="22"/>
      <c r="JA78" s="22"/>
      <c r="JB78" s="52"/>
      <c r="JC78" s="22"/>
      <c r="JD78" s="22"/>
    </row>
    <row r="79" spans="1:264" s="16" customFormat="1" x14ac:dyDescent="0.25">
      <c r="A79" s="16" t="s">
        <v>152</v>
      </c>
      <c r="B79" s="143"/>
      <c r="C79" s="39" t="s">
        <v>194</v>
      </c>
      <c r="D79" s="52"/>
      <c r="E79" s="22" t="s">
        <v>1340</v>
      </c>
      <c r="F79" s="22"/>
      <c r="G79" s="20" t="s">
        <v>1528</v>
      </c>
      <c r="H79" s="55" t="s">
        <v>198</v>
      </c>
      <c r="I79" s="30" t="s">
        <v>66</v>
      </c>
      <c r="J79" s="30" t="s">
        <v>66</v>
      </c>
      <c r="K79" s="57" t="s">
        <v>1198</v>
      </c>
      <c r="L79" s="133" t="s">
        <v>325</v>
      </c>
      <c r="M79" s="698">
        <v>3.99</v>
      </c>
      <c r="N79" s="19">
        <v>1</v>
      </c>
      <c r="O79" s="228" t="s">
        <v>66</v>
      </c>
      <c r="P79" s="620">
        <f>CONVERT(40,"g","lbm")</f>
        <v>8.8184904873951031E-2</v>
      </c>
      <c r="Q79" s="621">
        <v>2</v>
      </c>
      <c r="R79" s="621">
        <v>2</v>
      </c>
      <c r="S79" s="623">
        <v>2.5</v>
      </c>
      <c r="T79" s="271">
        <v>0.1</v>
      </c>
      <c r="U79" s="151">
        <v>4</v>
      </c>
      <c r="V79" s="151">
        <v>2</v>
      </c>
      <c r="W79" s="152">
        <v>6.75</v>
      </c>
      <c r="X79" s="46" t="s">
        <v>66</v>
      </c>
      <c r="Y79" s="35" t="s">
        <v>66</v>
      </c>
      <c r="Z79" s="35" t="s">
        <v>66</v>
      </c>
      <c r="AA79" s="72" t="s">
        <v>66</v>
      </c>
      <c r="AB79" s="46" t="s">
        <v>66</v>
      </c>
      <c r="AC79" s="35" t="s">
        <v>66</v>
      </c>
      <c r="AD79" s="35" t="s">
        <v>66</v>
      </c>
      <c r="AE79" s="72" t="s">
        <v>66</v>
      </c>
      <c r="AF79" s="46"/>
      <c r="AG79" s="163" t="s">
        <v>1250</v>
      </c>
      <c r="AH79" s="161"/>
      <c r="AI79" s="161"/>
      <c r="AJ79" s="161"/>
      <c r="AK79" s="161"/>
      <c r="AL79" s="161"/>
      <c r="AM79" s="48"/>
      <c r="AN79" s="161"/>
      <c r="AO79" s="158" t="s">
        <v>1254</v>
      </c>
      <c r="AP79" s="161" t="s">
        <v>1247</v>
      </c>
      <c r="AQ79" s="161"/>
      <c r="AR79" s="22"/>
      <c r="AS79" s="22"/>
      <c r="AT79" s="52"/>
      <c r="AU79" s="22"/>
      <c r="AV79" s="22"/>
      <c r="AW79" s="22"/>
      <c r="AX79" s="52"/>
      <c r="AY79" s="22"/>
      <c r="AZ79" s="22"/>
      <c r="BA79" s="22"/>
      <c r="BB79" s="52"/>
      <c r="BC79" s="22"/>
      <c r="BD79" s="22"/>
      <c r="BE79" s="22"/>
      <c r="BF79" s="52"/>
      <c r="BG79" s="22"/>
      <c r="BH79" s="22"/>
      <c r="BI79" s="22"/>
      <c r="BJ79" s="52"/>
      <c r="BK79" s="22"/>
      <c r="BL79" s="22"/>
      <c r="BM79" s="22"/>
      <c r="BN79" s="52"/>
      <c r="BO79" s="22"/>
      <c r="BP79" s="22"/>
      <c r="BQ79" s="22"/>
      <c r="BR79" s="52"/>
      <c r="BS79" s="22"/>
      <c r="BT79" s="22"/>
      <c r="BU79" s="22"/>
      <c r="BV79" s="52"/>
      <c r="BW79" s="22"/>
      <c r="BX79" s="22"/>
      <c r="BY79" s="22"/>
      <c r="BZ79" s="52"/>
      <c r="CA79" s="22"/>
      <c r="CB79" s="22"/>
      <c r="CC79" s="22"/>
      <c r="CD79" s="52"/>
      <c r="CE79" s="22"/>
      <c r="CF79" s="22"/>
      <c r="CG79" s="22"/>
      <c r="CH79" s="52"/>
      <c r="CI79" s="22"/>
      <c r="CJ79" s="22"/>
      <c r="CK79" s="22"/>
      <c r="CL79" s="52"/>
      <c r="CM79" s="22"/>
      <c r="CN79" s="22"/>
      <c r="CO79" s="22"/>
      <c r="CP79" s="52"/>
      <c r="CQ79" s="22"/>
      <c r="CR79" s="22"/>
      <c r="CS79" s="22"/>
      <c r="CT79" s="52"/>
      <c r="CU79" s="22"/>
      <c r="CV79" s="22"/>
      <c r="CW79" s="22"/>
      <c r="CX79" s="52"/>
      <c r="CY79" s="22"/>
      <c r="CZ79" s="22"/>
      <c r="DA79" s="22"/>
      <c r="DB79" s="52"/>
      <c r="DC79" s="22"/>
      <c r="DD79" s="22"/>
      <c r="DE79" s="22"/>
      <c r="DF79" s="52"/>
      <c r="DG79" s="22"/>
      <c r="DH79" s="22"/>
      <c r="DI79" s="22"/>
      <c r="DJ79" s="52"/>
      <c r="DK79" s="22"/>
      <c r="DL79" s="22"/>
      <c r="DM79" s="22"/>
      <c r="DN79" s="52"/>
      <c r="DO79" s="22"/>
      <c r="DP79" s="22"/>
      <c r="DQ79" s="22"/>
      <c r="DR79" s="52"/>
      <c r="DS79" s="22"/>
      <c r="DT79" s="22"/>
      <c r="DU79" s="22"/>
      <c r="DV79" s="52"/>
      <c r="DW79" s="22"/>
      <c r="DX79" s="22"/>
      <c r="DY79" s="22"/>
      <c r="DZ79" s="52"/>
      <c r="EA79" s="22"/>
      <c r="EB79" s="22"/>
      <c r="EC79" s="22"/>
      <c r="ED79" s="52"/>
      <c r="EE79" s="22"/>
      <c r="EF79" s="22"/>
      <c r="EG79" s="22"/>
      <c r="EH79" s="52"/>
      <c r="EI79" s="22"/>
      <c r="EJ79" s="22"/>
      <c r="EK79" s="22"/>
      <c r="EL79" s="52"/>
      <c r="EM79" s="22"/>
      <c r="EN79" s="22"/>
      <c r="EO79" s="22"/>
      <c r="EP79" s="52"/>
      <c r="EQ79" s="22"/>
      <c r="ER79" s="22"/>
      <c r="ES79" s="22"/>
      <c r="ET79" s="52"/>
      <c r="EU79" s="22"/>
      <c r="EV79" s="22"/>
      <c r="EW79" s="22"/>
      <c r="EX79" s="52"/>
      <c r="EY79" s="22"/>
      <c r="EZ79" s="22"/>
      <c r="FA79" s="22"/>
      <c r="FB79" s="52"/>
      <c r="FC79" s="22"/>
      <c r="FD79" s="22"/>
      <c r="FE79" s="22"/>
      <c r="FF79" s="52"/>
      <c r="FG79" s="22"/>
      <c r="FH79" s="22"/>
      <c r="FI79" s="22"/>
      <c r="FJ79" s="52"/>
      <c r="FK79" s="22"/>
      <c r="FL79" s="22"/>
      <c r="FM79" s="22"/>
      <c r="FN79" s="52"/>
      <c r="FO79" s="22"/>
      <c r="FP79" s="22"/>
      <c r="FQ79" s="22"/>
      <c r="FR79" s="52"/>
      <c r="FS79" s="22"/>
      <c r="FT79" s="22"/>
      <c r="FU79" s="22"/>
      <c r="FV79" s="52"/>
      <c r="FW79" s="22"/>
      <c r="FX79" s="22"/>
      <c r="FY79" s="22"/>
      <c r="FZ79" s="52"/>
      <c r="GA79" s="22"/>
      <c r="GB79" s="22"/>
      <c r="GC79" s="22"/>
      <c r="GD79" s="52"/>
      <c r="GE79" s="22"/>
      <c r="GF79" s="22"/>
      <c r="GG79" s="22"/>
      <c r="GH79" s="52"/>
      <c r="GI79" s="22"/>
      <c r="GJ79" s="22"/>
      <c r="GK79" s="22"/>
      <c r="GL79" s="52"/>
      <c r="GM79" s="22"/>
      <c r="GN79" s="22"/>
      <c r="GO79" s="22"/>
      <c r="GP79" s="52"/>
      <c r="GQ79" s="22"/>
      <c r="GR79" s="22"/>
      <c r="GS79" s="22"/>
      <c r="GT79" s="52"/>
      <c r="GU79" s="22"/>
      <c r="GV79" s="22"/>
      <c r="GW79" s="22"/>
      <c r="GX79" s="52"/>
      <c r="GY79" s="22"/>
      <c r="GZ79" s="22"/>
      <c r="HA79" s="22"/>
      <c r="HB79" s="52"/>
      <c r="HC79" s="22"/>
      <c r="HD79" s="22"/>
      <c r="HE79" s="22"/>
      <c r="HF79" s="52"/>
      <c r="HG79" s="22"/>
      <c r="HH79" s="22"/>
      <c r="HI79" s="22"/>
      <c r="HJ79" s="52"/>
      <c r="HK79" s="22"/>
      <c r="HL79" s="22"/>
      <c r="HM79" s="22"/>
      <c r="HN79" s="52"/>
      <c r="HO79" s="22"/>
      <c r="HP79" s="22"/>
      <c r="HQ79" s="22"/>
      <c r="HR79" s="52"/>
      <c r="HS79" s="22"/>
      <c r="HT79" s="22"/>
      <c r="HU79" s="22"/>
      <c r="HV79" s="52"/>
      <c r="HW79" s="22"/>
      <c r="HX79" s="22"/>
      <c r="HY79" s="22"/>
      <c r="HZ79" s="52"/>
      <c r="IA79" s="22"/>
      <c r="IB79" s="22"/>
      <c r="IC79" s="22"/>
      <c r="ID79" s="52"/>
      <c r="IE79" s="22"/>
      <c r="IF79" s="22"/>
      <c r="IG79" s="22"/>
      <c r="IH79" s="52"/>
      <c r="II79" s="22"/>
      <c r="IJ79" s="22"/>
      <c r="IK79" s="22"/>
      <c r="IL79" s="52"/>
      <c r="IM79" s="22"/>
      <c r="IN79" s="22"/>
      <c r="IO79" s="22"/>
      <c r="IP79" s="52"/>
      <c r="IQ79" s="22"/>
      <c r="IR79" s="22"/>
      <c r="IS79" s="22"/>
      <c r="IT79" s="52"/>
      <c r="IU79" s="22"/>
      <c r="IV79" s="22"/>
      <c r="IW79" s="22"/>
      <c r="IX79" s="52"/>
      <c r="IY79" s="22"/>
      <c r="IZ79" s="22"/>
      <c r="JA79" s="22"/>
      <c r="JB79" s="52"/>
      <c r="JC79" s="22"/>
      <c r="JD79" s="22"/>
    </row>
    <row r="80" spans="1:264" s="16" customFormat="1" x14ac:dyDescent="0.25">
      <c r="A80" s="16" t="s">
        <v>152</v>
      </c>
      <c r="B80" s="143"/>
      <c r="C80" s="39" t="s">
        <v>1197</v>
      </c>
      <c r="D80" s="52"/>
      <c r="E80" s="22" t="s">
        <v>1341</v>
      </c>
      <c r="F80" s="22"/>
      <c r="G80" s="20" t="s">
        <v>1528</v>
      </c>
      <c r="H80" s="55" t="s">
        <v>1199</v>
      </c>
      <c r="I80" s="30" t="s">
        <v>66</v>
      </c>
      <c r="J80" s="30" t="s">
        <v>66</v>
      </c>
      <c r="K80" s="57" t="s">
        <v>1198</v>
      </c>
      <c r="L80" s="133" t="s">
        <v>325</v>
      </c>
      <c r="M80" s="698">
        <v>3.99</v>
      </c>
      <c r="N80" s="19">
        <v>1</v>
      </c>
      <c r="O80" s="228" t="s">
        <v>66</v>
      </c>
      <c r="P80" s="620">
        <f>CONVERT(20,"g","lbm")</f>
        <v>4.4092452436975516E-2</v>
      </c>
      <c r="Q80" s="621">
        <v>2</v>
      </c>
      <c r="R80" s="621">
        <v>2</v>
      </c>
      <c r="S80" s="623">
        <v>1.375</v>
      </c>
      <c r="T80" s="271">
        <v>0.05</v>
      </c>
      <c r="U80" s="151">
        <v>4</v>
      </c>
      <c r="V80" s="151">
        <v>1.25</v>
      </c>
      <c r="W80" s="152">
        <v>5.25</v>
      </c>
      <c r="X80" s="46" t="s">
        <v>66</v>
      </c>
      <c r="Y80" s="35" t="s">
        <v>66</v>
      </c>
      <c r="Z80" s="35" t="s">
        <v>66</v>
      </c>
      <c r="AA80" s="72" t="s">
        <v>66</v>
      </c>
      <c r="AB80" s="46" t="s">
        <v>66</v>
      </c>
      <c r="AC80" s="35" t="s">
        <v>66</v>
      </c>
      <c r="AD80" s="35" t="s">
        <v>66</v>
      </c>
      <c r="AE80" s="72" t="s">
        <v>66</v>
      </c>
      <c r="AF80" s="46"/>
      <c r="AG80" s="163" t="s">
        <v>1251</v>
      </c>
      <c r="AH80" s="161"/>
      <c r="AI80" s="161"/>
      <c r="AJ80" s="161"/>
      <c r="AK80" s="161"/>
      <c r="AL80" s="161"/>
      <c r="AM80" s="48"/>
      <c r="AN80" s="161"/>
      <c r="AO80" s="158" t="s">
        <v>1254</v>
      </c>
      <c r="AP80" s="161" t="s">
        <v>1247</v>
      </c>
      <c r="AQ80" s="161"/>
      <c r="AR80" s="22"/>
      <c r="AS80" s="22"/>
      <c r="AT80" s="52"/>
      <c r="AU80" s="22"/>
      <c r="AV80" s="22"/>
      <c r="AW80" s="22"/>
      <c r="AX80" s="52"/>
      <c r="AY80" s="22"/>
      <c r="AZ80" s="22"/>
      <c r="BA80" s="22"/>
      <c r="BB80" s="52"/>
      <c r="BC80" s="22"/>
      <c r="BD80" s="22"/>
      <c r="BE80" s="22"/>
      <c r="BF80" s="52"/>
      <c r="BG80" s="22"/>
      <c r="BH80" s="22"/>
      <c r="BI80" s="22"/>
      <c r="BJ80" s="52"/>
      <c r="BK80" s="22"/>
      <c r="BL80" s="22"/>
      <c r="BM80" s="22"/>
      <c r="BN80" s="52"/>
      <c r="BO80" s="22"/>
      <c r="BP80" s="22"/>
      <c r="BQ80" s="22"/>
      <c r="BR80" s="52"/>
      <c r="BS80" s="22"/>
      <c r="BT80" s="22"/>
      <c r="BU80" s="22"/>
      <c r="BV80" s="52"/>
      <c r="BW80" s="22"/>
      <c r="BX80" s="22"/>
      <c r="BY80" s="22"/>
      <c r="BZ80" s="52"/>
      <c r="CA80" s="22"/>
      <c r="CB80" s="22"/>
      <c r="CC80" s="22"/>
      <c r="CD80" s="52"/>
      <c r="CE80" s="22"/>
      <c r="CF80" s="22"/>
      <c r="CG80" s="22"/>
      <c r="CH80" s="52"/>
      <c r="CI80" s="22"/>
      <c r="CJ80" s="22"/>
      <c r="CK80" s="22"/>
      <c r="CL80" s="52"/>
      <c r="CM80" s="22"/>
      <c r="CN80" s="22"/>
      <c r="CO80" s="22"/>
      <c r="CP80" s="52"/>
      <c r="CQ80" s="22"/>
      <c r="CR80" s="22"/>
      <c r="CS80" s="22"/>
      <c r="CT80" s="52"/>
      <c r="CU80" s="22"/>
      <c r="CV80" s="22"/>
      <c r="CW80" s="22"/>
      <c r="CX80" s="52"/>
      <c r="CY80" s="22"/>
      <c r="CZ80" s="22"/>
      <c r="DA80" s="22"/>
      <c r="DB80" s="52"/>
      <c r="DC80" s="22"/>
      <c r="DD80" s="22"/>
      <c r="DE80" s="22"/>
      <c r="DF80" s="52"/>
      <c r="DG80" s="22"/>
      <c r="DH80" s="22"/>
      <c r="DI80" s="22"/>
      <c r="DJ80" s="52"/>
      <c r="DK80" s="22"/>
      <c r="DL80" s="22"/>
      <c r="DM80" s="22"/>
      <c r="DN80" s="52"/>
      <c r="DO80" s="22"/>
      <c r="DP80" s="22"/>
      <c r="DQ80" s="22"/>
      <c r="DR80" s="52"/>
      <c r="DS80" s="22"/>
      <c r="DT80" s="22"/>
      <c r="DU80" s="22"/>
      <c r="DV80" s="52"/>
      <c r="DW80" s="22"/>
      <c r="DX80" s="22"/>
      <c r="DY80" s="22"/>
      <c r="DZ80" s="52"/>
      <c r="EA80" s="22"/>
      <c r="EB80" s="22"/>
      <c r="EC80" s="22"/>
      <c r="ED80" s="52"/>
      <c r="EE80" s="22"/>
      <c r="EF80" s="22"/>
      <c r="EG80" s="22"/>
      <c r="EH80" s="52"/>
      <c r="EI80" s="22"/>
      <c r="EJ80" s="22"/>
      <c r="EK80" s="22"/>
      <c r="EL80" s="52"/>
      <c r="EM80" s="22"/>
      <c r="EN80" s="22"/>
      <c r="EO80" s="22"/>
      <c r="EP80" s="52"/>
      <c r="EQ80" s="22"/>
      <c r="ER80" s="22"/>
      <c r="ES80" s="22"/>
      <c r="ET80" s="52"/>
      <c r="EU80" s="22"/>
      <c r="EV80" s="22"/>
      <c r="EW80" s="22"/>
      <c r="EX80" s="52"/>
      <c r="EY80" s="22"/>
      <c r="EZ80" s="22"/>
      <c r="FA80" s="22"/>
      <c r="FB80" s="52"/>
      <c r="FC80" s="22"/>
      <c r="FD80" s="22"/>
      <c r="FE80" s="22"/>
      <c r="FF80" s="52"/>
      <c r="FG80" s="22"/>
      <c r="FH80" s="22"/>
      <c r="FI80" s="22"/>
      <c r="FJ80" s="52"/>
      <c r="FK80" s="22"/>
      <c r="FL80" s="22"/>
      <c r="FM80" s="22"/>
      <c r="FN80" s="52"/>
      <c r="FO80" s="22"/>
      <c r="FP80" s="22"/>
      <c r="FQ80" s="22"/>
      <c r="FR80" s="52"/>
      <c r="FS80" s="22"/>
      <c r="FT80" s="22"/>
      <c r="FU80" s="22"/>
      <c r="FV80" s="52"/>
      <c r="FW80" s="22"/>
      <c r="FX80" s="22"/>
      <c r="FY80" s="22"/>
      <c r="FZ80" s="52"/>
      <c r="GA80" s="22"/>
      <c r="GB80" s="22"/>
      <c r="GC80" s="22"/>
      <c r="GD80" s="52"/>
      <c r="GE80" s="22"/>
      <c r="GF80" s="22"/>
      <c r="GG80" s="22"/>
      <c r="GH80" s="52"/>
      <c r="GI80" s="22"/>
      <c r="GJ80" s="22"/>
      <c r="GK80" s="22"/>
      <c r="GL80" s="52"/>
      <c r="GM80" s="22"/>
      <c r="GN80" s="22"/>
      <c r="GO80" s="22"/>
      <c r="GP80" s="52"/>
      <c r="GQ80" s="22"/>
      <c r="GR80" s="22"/>
      <c r="GS80" s="22"/>
      <c r="GT80" s="52"/>
      <c r="GU80" s="22"/>
      <c r="GV80" s="22"/>
      <c r="GW80" s="22"/>
      <c r="GX80" s="52"/>
      <c r="GY80" s="22"/>
      <c r="GZ80" s="22"/>
      <c r="HA80" s="22"/>
      <c r="HB80" s="52"/>
      <c r="HC80" s="22"/>
      <c r="HD80" s="22"/>
      <c r="HE80" s="22"/>
      <c r="HF80" s="52"/>
      <c r="HG80" s="22"/>
      <c r="HH80" s="22"/>
      <c r="HI80" s="22"/>
      <c r="HJ80" s="52"/>
      <c r="HK80" s="22"/>
      <c r="HL80" s="22"/>
      <c r="HM80" s="22"/>
      <c r="HN80" s="52"/>
      <c r="HO80" s="22"/>
      <c r="HP80" s="22"/>
      <c r="HQ80" s="22"/>
      <c r="HR80" s="52"/>
      <c r="HS80" s="22"/>
      <c r="HT80" s="22"/>
      <c r="HU80" s="22"/>
      <c r="HV80" s="52"/>
      <c r="HW80" s="22"/>
      <c r="HX80" s="22"/>
      <c r="HY80" s="22"/>
      <c r="HZ80" s="52"/>
      <c r="IA80" s="22"/>
      <c r="IB80" s="22"/>
      <c r="IC80" s="22"/>
      <c r="ID80" s="52"/>
      <c r="IE80" s="22"/>
      <c r="IF80" s="22"/>
      <c r="IG80" s="22"/>
      <c r="IH80" s="52"/>
      <c r="II80" s="22"/>
      <c r="IJ80" s="22"/>
      <c r="IK80" s="22"/>
      <c r="IL80" s="52"/>
      <c r="IM80" s="22"/>
      <c r="IN80" s="22"/>
      <c r="IO80" s="22"/>
      <c r="IP80" s="52"/>
      <c r="IQ80" s="22"/>
      <c r="IR80" s="22"/>
      <c r="IS80" s="22"/>
      <c r="IT80" s="52"/>
      <c r="IU80" s="22"/>
      <c r="IV80" s="22"/>
      <c r="IW80" s="22"/>
      <c r="IX80" s="52"/>
      <c r="IY80" s="22"/>
      <c r="IZ80" s="22"/>
      <c r="JA80" s="22"/>
      <c r="JB80" s="52"/>
      <c r="JC80" s="22"/>
      <c r="JD80" s="22"/>
    </row>
    <row r="81" spans="1:264" s="16" customFormat="1" x14ac:dyDescent="0.25">
      <c r="A81" s="16" t="s">
        <v>152</v>
      </c>
      <c r="B81" s="143"/>
      <c r="C81" s="39" t="s">
        <v>195</v>
      </c>
      <c r="D81" s="52"/>
      <c r="E81" s="22" t="s">
        <v>1342</v>
      </c>
      <c r="F81" s="22"/>
      <c r="G81" s="20" t="s">
        <v>1528</v>
      </c>
      <c r="H81" s="55" t="s">
        <v>199</v>
      </c>
      <c r="I81" s="30" t="s">
        <v>66</v>
      </c>
      <c r="J81" s="30" t="s">
        <v>66</v>
      </c>
      <c r="K81" s="57" t="s">
        <v>1198</v>
      </c>
      <c r="L81" s="133" t="s">
        <v>325</v>
      </c>
      <c r="M81" s="698">
        <v>4.99</v>
      </c>
      <c r="N81" s="19">
        <v>1</v>
      </c>
      <c r="O81" s="228" t="s">
        <v>66</v>
      </c>
      <c r="P81" s="620">
        <f>CONVERT(40,"g","lbm")</f>
        <v>8.8184904873951031E-2</v>
      </c>
      <c r="Q81" s="621">
        <v>1.75</v>
      </c>
      <c r="R81" s="621">
        <v>1.75</v>
      </c>
      <c r="S81" s="623">
        <v>3.125</v>
      </c>
      <c r="T81" s="271">
        <v>0.1</v>
      </c>
      <c r="U81" s="151">
        <v>4</v>
      </c>
      <c r="V81" s="151">
        <v>1.75</v>
      </c>
      <c r="W81" s="152">
        <v>7.25</v>
      </c>
      <c r="X81" s="46" t="s">
        <v>66</v>
      </c>
      <c r="Y81" s="35" t="s">
        <v>66</v>
      </c>
      <c r="Z81" s="35" t="s">
        <v>66</v>
      </c>
      <c r="AA81" s="72" t="s">
        <v>66</v>
      </c>
      <c r="AB81" s="46" t="s">
        <v>66</v>
      </c>
      <c r="AC81" s="35" t="s">
        <v>66</v>
      </c>
      <c r="AD81" s="35" t="s">
        <v>66</v>
      </c>
      <c r="AE81" s="72" t="s">
        <v>66</v>
      </c>
      <c r="AF81" s="46"/>
      <c r="AG81" s="163" t="s">
        <v>1252</v>
      </c>
      <c r="AH81" s="161"/>
      <c r="AI81" s="161"/>
      <c r="AJ81" s="161"/>
      <c r="AK81" s="161"/>
      <c r="AL81" s="161"/>
      <c r="AM81" s="48"/>
      <c r="AN81" s="161"/>
      <c r="AO81" s="158" t="s">
        <v>1254</v>
      </c>
      <c r="AP81" s="161" t="s">
        <v>1247</v>
      </c>
      <c r="AQ81" s="161"/>
      <c r="AR81" s="22"/>
      <c r="AS81" s="22"/>
      <c r="AT81" s="52"/>
      <c r="AU81" s="22"/>
      <c r="AV81" s="22"/>
      <c r="AW81" s="22"/>
      <c r="AX81" s="52"/>
      <c r="AY81" s="22"/>
      <c r="AZ81" s="22"/>
      <c r="BA81" s="22"/>
      <c r="BB81" s="52"/>
      <c r="BC81" s="22"/>
      <c r="BD81" s="22"/>
      <c r="BE81" s="22"/>
      <c r="BF81" s="52"/>
      <c r="BG81" s="22"/>
      <c r="BH81" s="22"/>
      <c r="BI81" s="22"/>
      <c r="BJ81" s="52"/>
      <c r="BK81" s="22"/>
      <c r="BL81" s="22"/>
      <c r="BM81" s="22"/>
      <c r="BN81" s="52"/>
      <c r="BO81" s="22"/>
      <c r="BP81" s="22"/>
      <c r="BQ81" s="22"/>
      <c r="BR81" s="52"/>
      <c r="BS81" s="22"/>
      <c r="BT81" s="22"/>
      <c r="BU81" s="22"/>
      <c r="BV81" s="52"/>
      <c r="BW81" s="22"/>
      <c r="BX81" s="22"/>
      <c r="BY81" s="22"/>
      <c r="BZ81" s="52"/>
      <c r="CA81" s="22"/>
      <c r="CB81" s="22"/>
      <c r="CC81" s="22"/>
      <c r="CD81" s="52"/>
      <c r="CE81" s="22"/>
      <c r="CF81" s="22"/>
      <c r="CG81" s="22"/>
      <c r="CH81" s="52"/>
      <c r="CI81" s="22"/>
      <c r="CJ81" s="22"/>
      <c r="CK81" s="22"/>
      <c r="CL81" s="52"/>
      <c r="CM81" s="22"/>
      <c r="CN81" s="22"/>
      <c r="CO81" s="22"/>
      <c r="CP81" s="52"/>
      <c r="CQ81" s="22"/>
      <c r="CR81" s="22"/>
      <c r="CS81" s="22"/>
      <c r="CT81" s="52"/>
      <c r="CU81" s="22"/>
      <c r="CV81" s="22"/>
      <c r="CW81" s="22"/>
      <c r="CX81" s="52"/>
      <c r="CY81" s="22"/>
      <c r="CZ81" s="22"/>
      <c r="DA81" s="22"/>
      <c r="DB81" s="52"/>
      <c r="DC81" s="22"/>
      <c r="DD81" s="22"/>
      <c r="DE81" s="22"/>
      <c r="DF81" s="52"/>
      <c r="DG81" s="22"/>
      <c r="DH81" s="22"/>
      <c r="DI81" s="22"/>
      <c r="DJ81" s="52"/>
      <c r="DK81" s="22"/>
      <c r="DL81" s="22"/>
      <c r="DM81" s="22"/>
      <c r="DN81" s="52"/>
      <c r="DO81" s="22"/>
      <c r="DP81" s="22"/>
      <c r="DQ81" s="22"/>
      <c r="DR81" s="52"/>
      <c r="DS81" s="22"/>
      <c r="DT81" s="22"/>
      <c r="DU81" s="22"/>
      <c r="DV81" s="52"/>
      <c r="DW81" s="22"/>
      <c r="DX81" s="22"/>
      <c r="DY81" s="22"/>
      <c r="DZ81" s="52"/>
      <c r="EA81" s="22"/>
      <c r="EB81" s="22"/>
      <c r="EC81" s="22"/>
      <c r="ED81" s="52"/>
      <c r="EE81" s="22"/>
      <c r="EF81" s="22"/>
      <c r="EG81" s="22"/>
      <c r="EH81" s="52"/>
      <c r="EI81" s="22"/>
      <c r="EJ81" s="22"/>
      <c r="EK81" s="22"/>
      <c r="EL81" s="52"/>
      <c r="EM81" s="22"/>
      <c r="EN81" s="22"/>
      <c r="EO81" s="22"/>
      <c r="EP81" s="52"/>
      <c r="EQ81" s="22"/>
      <c r="ER81" s="22"/>
      <c r="ES81" s="22"/>
      <c r="ET81" s="52"/>
      <c r="EU81" s="22"/>
      <c r="EV81" s="22"/>
      <c r="EW81" s="22"/>
      <c r="EX81" s="52"/>
      <c r="EY81" s="22"/>
      <c r="EZ81" s="22"/>
      <c r="FA81" s="22"/>
      <c r="FB81" s="52"/>
      <c r="FC81" s="22"/>
      <c r="FD81" s="22"/>
      <c r="FE81" s="22"/>
      <c r="FF81" s="52"/>
      <c r="FG81" s="22"/>
      <c r="FH81" s="22"/>
      <c r="FI81" s="22"/>
      <c r="FJ81" s="52"/>
      <c r="FK81" s="22"/>
      <c r="FL81" s="22"/>
      <c r="FM81" s="22"/>
      <c r="FN81" s="52"/>
      <c r="FO81" s="22"/>
      <c r="FP81" s="22"/>
      <c r="FQ81" s="22"/>
      <c r="FR81" s="52"/>
      <c r="FS81" s="22"/>
      <c r="FT81" s="22"/>
      <c r="FU81" s="22"/>
      <c r="FV81" s="52"/>
      <c r="FW81" s="22"/>
      <c r="FX81" s="22"/>
      <c r="FY81" s="22"/>
      <c r="FZ81" s="52"/>
      <c r="GA81" s="22"/>
      <c r="GB81" s="22"/>
      <c r="GC81" s="22"/>
      <c r="GD81" s="52"/>
      <c r="GE81" s="22"/>
      <c r="GF81" s="22"/>
      <c r="GG81" s="22"/>
      <c r="GH81" s="52"/>
      <c r="GI81" s="22"/>
      <c r="GJ81" s="22"/>
      <c r="GK81" s="22"/>
      <c r="GL81" s="52"/>
      <c r="GM81" s="22"/>
      <c r="GN81" s="22"/>
      <c r="GO81" s="22"/>
      <c r="GP81" s="52"/>
      <c r="GQ81" s="22"/>
      <c r="GR81" s="22"/>
      <c r="GS81" s="22"/>
      <c r="GT81" s="52"/>
      <c r="GU81" s="22"/>
      <c r="GV81" s="22"/>
      <c r="GW81" s="22"/>
      <c r="GX81" s="52"/>
      <c r="GY81" s="22"/>
      <c r="GZ81" s="22"/>
      <c r="HA81" s="22"/>
      <c r="HB81" s="52"/>
      <c r="HC81" s="22"/>
      <c r="HD81" s="22"/>
      <c r="HE81" s="22"/>
      <c r="HF81" s="52"/>
      <c r="HG81" s="22"/>
      <c r="HH81" s="22"/>
      <c r="HI81" s="22"/>
      <c r="HJ81" s="52"/>
      <c r="HK81" s="22"/>
      <c r="HL81" s="22"/>
      <c r="HM81" s="22"/>
      <c r="HN81" s="52"/>
      <c r="HO81" s="22"/>
      <c r="HP81" s="22"/>
      <c r="HQ81" s="22"/>
      <c r="HR81" s="52"/>
      <c r="HS81" s="22"/>
      <c r="HT81" s="22"/>
      <c r="HU81" s="22"/>
      <c r="HV81" s="52"/>
      <c r="HW81" s="22"/>
      <c r="HX81" s="22"/>
      <c r="HY81" s="22"/>
      <c r="HZ81" s="52"/>
      <c r="IA81" s="22"/>
      <c r="IB81" s="22"/>
      <c r="IC81" s="22"/>
      <c r="ID81" s="52"/>
      <c r="IE81" s="22"/>
      <c r="IF81" s="22"/>
      <c r="IG81" s="22"/>
      <c r="IH81" s="52"/>
      <c r="II81" s="22"/>
      <c r="IJ81" s="22"/>
      <c r="IK81" s="22"/>
      <c r="IL81" s="52"/>
      <c r="IM81" s="22"/>
      <c r="IN81" s="22"/>
      <c r="IO81" s="22"/>
      <c r="IP81" s="52"/>
      <c r="IQ81" s="22"/>
      <c r="IR81" s="22"/>
      <c r="IS81" s="22"/>
      <c r="IT81" s="52"/>
      <c r="IU81" s="22"/>
      <c r="IV81" s="22"/>
      <c r="IW81" s="22"/>
      <c r="IX81" s="52"/>
      <c r="IY81" s="22"/>
      <c r="IZ81" s="22"/>
      <c r="JA81" s="22"/>
      <c r="JB81" s="52"/>
      <c r="JC81" s="22"/>
      <c r="JD81" s="22"/>
    </row>
    <row r="82" spans="1:264" s="16" customFormat="1" x14ac:dyDescent="0.25">
      <c r="A82" s="16" t="s">
        <v>152</v>
      </c>
      <c r="B82" s="143"/>
      <c r="C82" s="39" t="s">
        <v>196</v>
      </c>
      <c r="D82" s="52"/>
      <c r="E82" s="22" t="s">
        <v>1343</v>
      </c>
      <c r="F82" s="22"/>
      <c r="G82" s="39" t="s">
        <v>1517</v>
      </c>
      <c r="H82" s="55" t="s">
        <v>200</v>
      </c>
      <c r="I82" s="30" t="s">
        <v>66</v>
      </c>
      <c r="J82" s="30" t="s">
        <v>66</v>
      </c>
      <c r="K82" s="57" t="s">
        <v>1198</v>
      </c>
      <c r="L82" s="133" t="s">
        <v>325</v>
      </c>
      <c r="M82" s="698">
        <v>9.99</v>
      </c>
      <c r="N82" s="19">
        <v>1</v>
      </c>
      <c r="O82" s="228" t="s">
        <v>66</v>
      </c>
      <c r="P82" s="620">
        <f>CONVERT(125,"g","lbm")</f>
        <v>0.27557782773109696</v>
      </c>
      <c r="Q82" s="621">
        <v>4.125</v>
      </c>
      <c r="R82" s="621">
        <v>4.125</v>
      </c>
      <c r="S82" s="623">
        <v>4.125</v>
      </c>
      <c r="T82" s="271">
        <v>0.4</v>
      </c>
      <c r="U82" s="151">
        <v>5.375</v>
      </c>
      <c r="V82" s="151">
        <v>4.875</v>
      </c>
      <c r="W82" s="152">
        <v>4.25</v>
      </c>
      <c r="X82" s="46" t="s">
        <v>66</v>
      </c>
      <c r="Y82" s="35" t="s">
        <v>66</v>
      </c>
      <c r="Z82" s="35" t="s">
        <v>66</v>
      </c>
      <c r="AA82" s="72" t="s">
        <v>66</v>
      </c>
      <c r="AB82" s="46" t="s">
        <v>66</v>
      </c>
      <c r="AC82" s="35" t="s">
        <v>66</v>
      </c>
      <c r="AD82" s="35" t="s">
        <v>66</v>
      </c>
      <c r="AE82" s="72" t="s">
        <v>66</v>
      </c>
      <c r="AF82" s="46"/>
      <c r="AG82" s="163" t="s">
        <v>1253</v>
      </c>
      <c r="AH82" s="161"/>
      <c r="AI82" s="161"/>
      <c r="AJ82" s="161"/>
      <c r="AK82" s="161"/>
      <c r="AL82" s="161"/>
      <c r="AM82" s="48"/>
      <c r="AN82" s="161"/>
      <c r="AO82" s="158" t="s">
        <v>1254</v>
      </c>
      <c r="AP82" s="161" t="s">
        <v>1247</v>
      </c>
      <c r="AQ82" s="161"/>
      <c r="AR82" s="22"/>
      <c r="AS82" s="22"/>
      <c r="AT82" s="52"/>
      <c r="AU82" s="22"/>
      <c r="AV82" s="22"/>
      <c r="AW82" s="22"/>
      <c r="AX82" s="52"/>
      <c r="AY82" s="22"/>
      <c r="AZ82" s="22"/>
      <c r="BA82" s="22"/>
      <c r="BB82" s="52"/>
      <c r="BC82" s="22"/>
      <c r="BD82" s="22"/>
      <c r="BE82" s="22"/>
      <c r="BF82" s="52"/>
      <c r="BG82" s="22"/>
      <c r="BH82" s="22"/>
      <c r="BI82" s="22"/>
      <c r="BJ82" s="52"/>
      <c r="BK82" s="22"/>
      <c r="BL82" s="22"/>
      <c r="BM82" s="22"/>
      <c r="BN82" s="52"/>
      <c r="BO82" s="22"/>
      <c r="BP82" s="22"/>
      <c r="BQ82" s="22"/>
      <c r="BR82" s="52"/>
      <c r="BS82" s="22"/>
      <c r="BT82" s="22"/>
      <c r="BU82" s="22"/>
      <c r="BV82" s="52"/>
      <c r="BW82" s="22"/>
      <c r="BX82" s="22"/>
      <c r="BY82" s="22"/>
      <c r="BZ82" s="52"/>
      <c r="CA82" s="22"/>
      <c r="CB82" s="22"/>
      <c r="CC82" s="22"/>
      <c r="CD82" s="52"/>
      <c r="CE82" s="22"/>
      <c r="CF82" s="22"/>
      <c r="CG82" s="22"/>
      <c r="CH82" s="52"/>
      <c r="CI82" s="22"/>
      <c r="CJ82" s="22"/>
      <c r="CK82" s="22"/>
      <c r="CL82" s="52"/>
      <c r="CM82" s="22"/>
      <c r="CN82" s="22"/>
      <c r="CO82" s="22"/>
      <c r="CP82" s="52"/>
      <c r="CQ82" s="22"/>
      <c r="CR82" s="22"/>
      <c r="CS82" s="22"/>
      <c r="CT82" s="52"/>
      <c r="CU82" s="22"/>
      <c r="CV82" s="22"/>
      <c r="CW82" s="22"/>
      <c r="CX82" s="52"/>
      <c r="CY82" s="22"/>
      <c r="CZ82" s="22"/>
      <c r="DA82" s="22"/>
      <c r="DB82" s="52"/>
      <c r="DC82" s="22"/>
      <c r="DD82" s="22"/>
      <c r="DE82" s="22"/>
      <c r="DF82" s="52"/>
      <c r="DG82" s="22"/>
      <c r="DH82" s="22"/>
      <c r="DI82" s="22"/>
      <c r="DJ82" s="52"/>
      <c r="DK82" s="22"/>
      <c r="DL82" s="22"/>
      <c r="DM82" s="22"/>
      <c r="DN82" s="52"/>
      <c r="DO82" s="22"/>
      <c r="DP82" s="22"/>
      <c r="DQ82" s="22"/>
      <c r="DR82" s="52"/>
      <c r="DS82" s="22"/>
      <c r="DT82" s="22"/>
      <c r="DU82" s="22"/>
      <c r="DV82" s="52"/>
      <c r="DW82" s="22"/>
      <c r="DX82" s="22"/>
      <c r="DY82" s="22"/>
      <c r="DZ82" s="52"/>
      <c r="EA82" s="22"/>
      <c r="EB82" s="22"/>
      <c r="EC82" s="22"/>
      <c r="ED82" s="52"/>
      <c r="EE82" s="22"/>
      <c r="EF82" s="22"/>
      <c r="EG82" s="22"/>
      <c r="EH82" s="52"/>
      <c r="EI82" s="22"/>
      <c r="EJ82" s="22"/>
      <c r="EK82" s="22"/>
      <c r="EL82" s="52"/>
      <c r="EM82" s="22"/>
      <c r="EN82" s="22"/>
      <c r="EO82" s="22"/>
      <c r="EP82" s="52"/>
      <c r="EQ82" s="22"/>
      <c r="ER82" s="22"/>
      <c r="ES82" s="22"/>
      <c r="ET82" s="52"/>
      <c r="EU82" s="22"/>
      <c r="EV82" s="22"/>
      <c r="EW82" s="22"/>
      <c r="EX82" s="52"/>
      <c r="EY82" s="22"/>
      <c r="EZ82" s="22"/>
      <c r="FA82" s="22"/>
      <c r="FB82" s="52"/>
      <c r="FC82" s="22"/>
      <c r="FD82" s="22"/>
      <c r="FE82" s="22"/>
      <c r="FF82" s="52"/>
      <c r="FG82" s="22"/>
      <c r="FH82" s="22"/>
      <c r="FI82" s="22"/>
      <c r="FJ82" s="52"/>
      <c r="FK82" s="22"/>
      <c r="FL82" s="22"/>
      <c r="FM82" s="22"/>
      <c r="FN82" s="52"/>
      <c r="FO82" s="22"/>
      <c r="FP82" s="22"/>
      <c r="FQ82" s="22"/>
      <c r="FR82" s="52"/>
      <c r="FS82" s="22"/>
      <c r="FT82" s="22"/>
      <c r="FU82" s="22"/>
      <c r="FV82" s="52"/>
      <c r="FW82" s="22"/>
      <c r="FX82" s="22"/>
      <c r="FY82" s="22"/>
      <c r="FZ82" s="52"/>
      <c r="GA82" s="22"/>
      <c r="GB82" s="22"/>
      <c r="GC82" s="22"/>
      <c r="GD82" s="52"/>
      <c r="GE82" s="22"/>
      <c r="GF82" s="22"/>
      <c r="GG82" s="22"/>
      <c r="GH82" s="52"/>
      <c r="GI82" s="22"/>
      <c r="GJ82" s="22"/>
      <c r="GK82" s="22"/>
      <c r="GL82" s="52"/>
      <c r="GM82" s="22"/>
      <c r="GN82" s="22"/>
      <c r="GO82" s="22"/>
      <c r="GP82" s="52"/>
      <c r="GQ82" s="22"/>
      <c r="GR82" s="22"/>
      <c r="GS82" s="22"/>
      <c r="GT82" s="52"/>
      <c r="GU82" s="22"/>
      <c r="GV82" s="22"/>
      <c r="GW82" s="22"/>
      <c r="GX82" s="52"/>
      <c r="GY82" s="22"/>
      <c r="GZ82" s="22"/>
      <c r="HA82" s="22"/>
      <c r="HB82" s="52"/>
      <c r="HC82" s="22"/>
      <c r="HD82" s="22"/>
      <c r="HE82" s="22"/>
      <c r="HF82" s="52"/>
      <c r="HG82" s="22"/>
      <c r="HH82" s="22"/>
      <c r="HI82" s="22"/>
      <c r="HJ82" s="52"/>
      <c r="HK82" s="22"/>
      <c r="HL82" s="22"/>
      <c r="HM82" s="22"/>
      <c r="HN82" s="52"/>
      <c r="HO82" s="22"/>
      <c r="HP82" s="22"/>
      <c r="HQ82" s="22"/>
      <c r="HR82" s="52"/>
      <c r="HS82" s="22"/>
      <c r="HT82" s="22"/>
      <c r="HU82" s="22"/>
      <c r="HV82" s="52"/>
      <c r="HW82" s="22"/>
      <c r="HX82" s="22"/>
      <c r="HY82" s="22"/>
      <c r="HZ82" s="52"/>
      <c r="IA82" s="22"/>
      <c r="IB82" s="22"/>
      <c r="IC82" s="22"/>
      <c r="ID82" s="52"/>
      <c r="IE82" s="22"/>
      <c r="IF82" s="22"/>
      <c r="IG82" s="22"/>
      <c r="IH82" s="52"/>
      <c r="II82" s="22"/>
      <c r="IJ82" s="22"/>
      <c r="IK82" s="22"/>
      <c r="IL82" s="52"/>
      <c r="IM82" s="22"/>
      <c r="IN82" s="22"/>
      <c r="IO82" s="22"/>
      <c r="IP82" s="52"/>
      <c r="IQ82" s="22"/>
      <c r="IR82" s="22"/>
      <c r="IS82" s="22"/>
      <c r="IT82" s="52"/>
      <c r="IU82" s="22"/>
      <c r="IV82" s="22"/>
      <c r="IW82" s="22"/>
      <c r="IX82" s="52"/>
      <c r="IY82" s="22"/>
      <c r="IZ82" s="22"/>
      <c r="JA82" s="22"/>
      <c r="JB82" s="52"/>
      <c r="JC82" s="22"/>
      <c r="JD82" s="22"/>
    </row>
    <row r="83" spans="1:264" s="16" customFormat="1" x14ac:dyDescent="0.25">
      <c r="B83" s="143"/>
      <c r="C83" s="39"/>
      <c r="D83" s="52"/>
      <c r="E83" s="22"/>
      <c r="F83" s="22"/>
      <c r="G83" s="39"/>
      <c r="H83" s="55"/>
      <c r="I83" s="30"/>
      <c r="J83" s="30"/>
      <c r="K83" s="57"/>
      <c r="L83" s="133"/>
      <c r="M83" s="698"/>
      <c r="N83" s="19"/>
      <c r="O83" s="228"/>
      <c r="P83" s="620"/>
      <c r="Q83" s="621"/>
      <c r="R83" s="621"/>
      <c r="S83" s="623"/>
      <c r="T83" s="271"/>
      <c r="U83" s="151"/>
      <c r="V83" s="151"/>
      <c r="W83" s="152"/>
      <c r="X83" s="46"/>
      <c r="Y83" s="35"/>
      <c r="Z83" s="35"/>
      <c r="AA83" s="72"/>
      <c r="AB83" s="46"/>
      <c r="AC83" s="35"/>
      <c r="AD83" s="35"/>
      <c r="AE83" s="72"/>
      <c r="AF83" s="46"/>
      <c r="AG83" s="163"/>
      <c r="AH83" s="161"/>
      <c r="AI83" s="161"/>
      <c r="AJ83" s="161"/>
      <c r="AK83" s="161"/>
      <c r="AL83" s="161"/>
      <c r="AM83" s="48"/>
      <c r="AN83" s="161"/>
      <c r="AO83" s="158"/>
      <c r="AP83" s="161"/>
      <c r="AQ83" s="161"/>
      <c r="AR83" s="22"/>
      <c r="AS83" s="22"/>
      <c r="AT83" s="52"/>
      <c r="AU83" s="22"/>
      <c r="AV83" s="22"/>
      <c r="AW83" s="22"/>
      <c r="AX83" s="52"/>
      <c r="AY83" s="22"/>
      <c r="AZ83" s="22"/>
      <c r="BA83" s="22"/>
      <c r="BB83" s="52"/>
      <c r="BC83" s="22"/>
      <c r="BD83" s="22"/>
      <c r="BE83" s="22"/>
      <c r="BF83" s="52"/>
      <c r="BG83" s="22"/>
      <c r="BH83" s="22"/>
      <c r="BI83" s="22"/>
      <c r="BJ83" s="52"/>
      <c r="BK83" s="22"/>
      <c r="BL83" s="22"/>
      <c r="BM83" s="22"/>
      <c r="BN83" s="52"/>
      <c r="BO83" s="22"/>
      <c r="BP83" s="22"/>
      <c r="BQ83" s="22"/>
      <c r="BR83" s="52"/>
      <c r="BS83" s="22"/>
      <c r="BT83" s="22"/>
      <c r="BU83" s="22"/>
      <c r="BV83" s="52"/>
      <c r="BW83" s="22"/>
      <c r="BX83" s="22"/>
      <c r="BY83" s="22"/>
      <c r="BZ83" s="52"/>
      <c r="CA83" s="22"/>
      <c r="CB83" s="22"/>
      <c r="CC83" s="22"/>
      <c r="CD83" s="52"/>
      <c r="CE83" s="22"/>
      <c r="CF83" s="22"/>
      <c r="CG83" s="22"/>
      <c r="CH83" s="52"/>
      <c r="CI83" s="22"/>
      <c r="CJ83" s="22"/>
      <c r="CK83" s="22"/>
      <c r="CL83" s="52"/>
      <c r="CM83" s="22"/>
      <c r="CN83" s="22"/>
      <c r="CO83" s="22"/>
      <c r="CP83" s="52"/>
      <c r="CQ83" s="22"/>
      <c r="CR83" s="22"/>
      <c r="CS83" s="22"/>
      <c r="CT83" s="52"/>
      <c r="CU83" s="22"/>
      <c r="CV83" s="22"/>
      <c r="CW83" s="22"/>
      <c r="CX83" s="52"/>
      <c r="CY83" s="22"/>
      <c r="CZ83" s="22"/>
      <c r="DA83" s="22"/>
      <c r="DB83" s="52"/>
      <c r="DC83" s="22"/>
      <c r="DD83" s="22"/>
      <c r="DE83" s="22"/>
      <c r="DF83" s="52"/>
      <c r="DG83" s="22"/>
      <c r="DH83" s="22"/>
      <c r="DI83" s="22"/>
      <c r="DJ83" s="52"/>
      <c r="DK83" s="22"/>
      <c r="DL83" s="22"/>
      <c r="DM83" s="22"/>
      <c r="DN83" s="52"/>
      <c r="DO83" s="22"/>
      <c r="DP83" s="22"/>
      <c r="DQ83" s="22"/>
      <c r="DR83" s="52"/>
      <c r="DS83" s="22"/>
      <c r="DT83" s="22"/>
      <c r="DU83" s="22"/>
      <c r="DV83" s="52"/>
      <c r="DW83" s="22"/>
      <c r="DX83" s="22"/>
      <c r="DY83" s="22"/>
      <c r="DZ83" s="52"/>
      <c r="EA83" s="22"/>
      <c r="EB83" s="22"/>
      <c r="EC83" s="22"/>
      <c r="ED83" s="52"/>
      <c r="EE83" s="22"/>
      <c r="EF83" s="22"/>
      <c r="EG83" s="22"/>
      <c r="EH83" s="52"/>
      <c r="EI83" s="22"/>
      <c r="EJ83" s="22"/>
      <c r="EK83" s="22"/>
      <c r="EL83" s="52"/>
      <c r="EM83" s="22"/>
      <c r="EN83" s="22"/>
      <c r="EO83" s="22"/>
      <c r="EP83" s="52"/>
      <c r="EQ83" s="22"/>
      <c r="ER83" s="22"/>
      <c r="ES83" s="22"/>
      <c r="ET83" s="52"/>
      <c r="EU83" s="22"/>
      <c r="EV83" s="22"/>
      <c r="EW83" s="22"/>
      <c r="EX83" s="52"/>
      <c r="EY83" s="22"/>
      <c r="EZ83" s="22"/>
      <c r="FA83" s="22"/>
      <c r="FB83" s="52"/>
      <c r="FC83" s="22"/>
      <c r="FD83" s="22"/>
      <c r="FE83" s="22"/>
      <c r="FF83" s="52"/>
      <c r="FG83" s="22"/>
      <c r="FH83" s="22"/>
      <c r="FI83" s="22"/>
      <c r="FJ83" s="52"/>
      <c r="FK83" s="22"/>
      <c r="FL83" s="22"/>
      <c r="FM83" s="22"/>
      <c r="FN83" s="52"/>
      <c r="FO83" s="22"/>
      <c r="FP83" s="22"/>
      <c r="FQ83" s="22"/>
      <c r="FR83" s="52"/>
      <c r="FS83" s="22"/>
      <c r="FT83" s="22"/>
      <c r="FU83" s="22"/>
      <c r="FV83" s="52"/>
      <c r="FW83" s="22"/>
      <c r="FX83" s="22"/>
      <c r="FY83" s="22"/>
      <c r="FZ83" s="52"/>
      <c r="GA83" s="22"/>
      <c r="GB83" s="22"/>
      <c r="GC83" s="22"/>
      <c r="GD83" s="52"/>
      <c r="GE83" s="22"/>
      <c r="GF83" s="22"/>
      <c r="GG83" s="22"/>
      <c r="GH83" s="52"/>
      <c r="GI83" s="22"/>
      <c r="GJ83" s="22"/>
      <c r="GK83" s="22"/>
      <c r="GL83" s="52"/>
      <c r="GM83" s="22"/>
      <c r="GN83" s="22"/>
      <c r="GO83" s="22"/>
      <c r="GP83" s="52"/>
      <c r="GQ83" s="22"/>
      <c r="GR83" s="22"/>
      <c r="GS83" s="22"/>
      <c r="GT83" s="52"/>
      <c r="GU83" s="22"/>
      <c r="GV83" s="22"/>
      <c r="GW83" s="22"/>
      <c r="GX83" s="52"/>
      <c r="GY83" s="22"/>
      <c r="GZ83" s="22"/>
      <c r="HA83" s="22"/>
      <c r="HB83" s="52"/>
      <c r="HC83" s="22"/>
      <c r="HD83" s="22"/>
      <c r="HE83" s="22"/>
      <c r="HF83" s="52"/>
      <c r="HG83" s="22"/>
      <c r="HH83" s="22"/>
      <c r="HI83" s="22"/>
      <c r="HJ83" s="52"/>
      <c r="HK83" s="22"/>
      <c r="HL83" s="22"/>
      <c r="HM83" s="22"/>
      <c r="HN83" s="52"/>
      <c r="HO83" s="22"/>
      <c r="HP83" s="22"/>
      <c r="HQ83" s="22"/>
      <c r="HR83" s="52"/>
      <c r="HS83" s="22"/>
      <c r="HT83" s="22"/>
      <c r="HU83" s="22"/>
      <c r="HV83" s="52"/>
      <c r="HW83" s="22"/>
      <c r="HX83" s="22"/>
      <c r="HY83" s="22"/>
      <c r="HZ83" s="52"/>
      <c r="IA83" s="22"/>
      <c r="IB83" s="22"/>
      <c r="IC83" s="22"/>
      <c r="ID83" s="52"/>
      <c r="IE83" s="22"/>
      <c r="IF83" s="22"/>
      <c r="IG83" s="22"/>
      <c r="IH83" s="52"/>
      <c r="II83" s="22"/>
      <c r="IJ83" s="22"/>
      <c r="IK83" s="22"/>
      <c r="IL83" s="52"/>
      <c r="IM83" s="22"/>
      <c r="IN83" s="22"/>
      <c r="IO83" s="22"/>
      <c r="IP83" s="52"/>
      <c r="IQ83" s="22"/>
      <c r="IR83" s="22"/>
      <c r="IS83" s="22"/>
      <c r="IT83" s="52"/>
      <c r="IU83" s="22"/>
      <c r="IV83" s="22"/>
      <c r="IW83" s="22"/>
      <c r="IX83" s="52"/>
      <c r="IY83" s="22"/>
      <c r="IZ83" s="22"/>
      <c r="JA83" s="22"/>
      <c r="JB83" s="52"/>
      <c r="JC83" s="22"/>
      <c r="JD83" s="22"/>
    </row>
    <row r="84" spans="1:264" s="16" customFormat="1" ht="15.6" x14ac:dyDescent="0.3">
      <c r="A84" s="799" t="s">
        <v>2864</v>
      </c>
      <c r="B84" s="799"/>
      <c r="C84" s="799"/>
      <c r="D84" s="52"/>
      <c r="E84" s="22"/>
      <c r="F84" s="22"/>
      <c r="G84" s="39"/>
      <c r="H84" s="55"/>
      <c r="I84" s="30"/>
      <c r="J84" s="30"/>
      <c r="K84" s="57"/>
      <c r="L84" s="133"/>
      <c r="M84" s="698"/>
      <c r="N84" s="19"/>
      <c r="O84" s="228"/>
      <c r="P84" s="620"/>
      <c r="Q84" s="621"/>
      <c r="R84" s="621"/>
      <c r="S84" s="623"/>
      <c r="T84" s="271"/>
      <c r="U84" s="151"/>
      <c r="V84" s="151"/>
      <c r="W84" s="152"/>
      <c r="X84" s="46"/>
      <c r="Y84" s="35"/>
      <c r="Z84" s="35"/>
      <c r="AA84" s="72"/>
      <c r="AB84" s="46"/>
      <c r="AC84" s="35"/>
      <c r="AD84" s="35"/>
      <c r="AE84" s="72"/>
      <c r="AF84" s="46"/>
      <c r="AG84" s="163"/>
      <c r="AH84" s="161"/>
      <c r="AI84" s="161"/>
      <c r="AJ84" s="161"/>
      <c r="AK84" s="161"/>
      <c r="AL84" s="161"/>
      <c r="AM84" s="48"/>
      <c r="AN84" s="161"/>
      <c r="AO84" s="158"/>
      <c r="AP84" s="161"/>
      <c r="AQ84" s="161"/>
      <c r="AR84" s="22"/>
      <c r="AS84" s="22"/>
      <c r="AT84" s="52"/>
      <c r="AU84" s="22"/>
      <c r="AV84" s="22"/>
      <c r="AW84" s="22"/>
      <c r="AX84" s="52"/>
      <c r="AY84" s="22"/>
      <c r="AZ84" s="22"/>
      <c r="BA84" s="22"/>
      <c r="BB84" s="52"/>
      <c r="BC84" s="22"/>
      <c r="BD84" s="22"/>
      <c r="BE84" s="22"/>
      <c r="BF84" s="52"/>
      <c r="BG84" s="22"/>
      <c r="BH84" s="22"/>
      <c r="BI84" s="22"/>
      <c r="BJ84" s="52"/>
      <c r="BK84" s="22"/>
      <c r="BL84" s="22"/>
      <c r="BM84" s="22"/>
      <c r="BN84" s="52"/>
      <c r="BO84" s="22"/>
      <c r="BP84" s="22"/>
      <c r="BQ84" s="22"/>
      <c r="BR84" s="52"/>
      <c r="BS84" s="22"/>
      <c r="BT84" s="22"/>
      <c r="BU84" s="22"/>
      <c r="BV84" s="52"/>
      <c r="BW84" s="22"/>
      <c r="BX84" s="22"/>
      <c r="BY84" s="22"/>
      <c r="BZ84" s="52"/>
      <c r="CA84" s="22"/>
      <c r="CB84" s="22"/>
      <c r="CC84" s="22"/>
      <c r="CD84" s="52"/>
      <c r="CE84" s="22"/>
      <c r="CF84" s="22"/>
      <c r="CG84" s="22"/>
      <c r="CH84" s="52"/>
      <c r="CI84" s="22"/>
      <c r="CJ84" s="22"/>
      <c r="CK84" s="22"/>
      <c r="CL84" s="52"/>
      <c r="CM84" s="22"/>
      <c r="CN84" s="22"/>
      <c r="CO84" s="22"/>
      <c r="CP84" s="52"/>
      <c r="CQ84" s="22"/>
      <c r="CR84" s="22"/>
      <c r="CS84" s="22"/>
      <c r="CT84" s="52"/>
      <c r="CU84" s="22"/>
      <c r="CV84" s="22"/>
      <c r="CW84" s="22"/>
      <c r="CX84" s="52"/>
      <c r="CY84" s="22"/>
      <c r="CZ84" s="22"/>
      <c r="DA84" s="22"/>
      <c r="DB84" s="52"/>
      <c r="DC84" s="22"/>
      <c r="DD84" s="22"/>
      <c r="DE84" s="22"/>
      <c r="DF84" s="52"/>
      <c r="DG84" s="22"/>
      <c r="DH84" s="22"/>
      <c r="DI84" s="22"/>
      <c r="DJ84" s="52"/>
      <c r="DK84" s="22"/>
      <c r="DL84" s="22"/>
      <c r="DM84" s="22"/>
      <c r="DN84" s="52"/>
      <c r="DO84" s="22"/>
      <c r="DP84" s="22"/>
      <c r="DQ84" s="22"/>
      <c r="DR84" s="52"/>
      <c r="DS84" s="22"/>
      <c r="DT84" s="22"/>
      <c r="DU84" s="22"/>
      <c r="DV84" s="52"/>
      <c r="DW84" s="22"/>
      <c r="DX84" s="22"/>
      <c r="DY84" s="22"/>
      <c r="DZ84" s="52"/>
      <c r="EA84" s="22"/>
      <c r="EB84" s="22"/>
      <c r="EC84" s="22"/>
      <c r="ED84" s="52"/>
      <c r="EE84" s="22"/>
      <c r="EF84" s="22"/>
      <c r="EG84" s="22"/>
      <c r="EH84" s="52"/>
      <c r="EI84" s="22"/>
      <c r="EJ84" s="22"/>
      <c r="EK84" s="22"/>
      <c r="EL84" s="52"/>
      <c r="EM84" s="22"/>
      <c r="EN84" s="22"/>
      <c r="EO84" s="22"/>
      <c r="EP84" s="52"/>
      <c r="EQ84" s="22"/>
      <c r="ER84" s="22"/>
      <c r="ES84" s="22"/>
      <c r="ET84" s="52"/>
      <c r="EU84" s="22"/>
      <c r="EV84" s="22"/>
      <c r="EW84" s="22"/>
      <c r="EX84" s="52"/>
      <c r="EY84" s="22"/>
      <c r="EZ84" s="22"/>
      <c r="FA84" s="22"/>
      <c r="FB84" s="52"/>
      <c r="FC84" s="22"/>
      <c r="FD84" s="22"/>
      <c r="FE84" s="22"/>
      <c r="FF84" s="52"/>
      <c r="FG84" s="22"/>
      <c r="FH84" s="22"/>
      <c r="FI84" s="22"/>
      <c r="FJ84" s="52"/>
      <c r="FK84" s="22"/>
      <c r="FL84" s="22"/>
      <c r="FM84" s="22"/>
      <c r="FN84" s="52"/>
      <c r="FO84" s="22"/>
      <c r="FP84" s="22"/>
      <c r="FQ84" s="22"/>
      <c r="FR84" s="52"/>
      <c r="FS84" s="22"/>
      <c r="FT84" s="22"/>
      <c r="FU84" s="22"/>
      <c r="FV84" s="52"/>
      <c r="FW84" s="22"/>
      <c r="FX84" s="22"/>
      <c r="FY84" s="22"/>
      <c r="FZ84" s="52"/>
      <c r="GA84" s="22"/>
      <c r="GB84" s="22"/>
      <c r="GC84" s="22"/>
      <c r="GD84" s="52"/>
      <c r="GE84" s="22"/>
      <c r="GF84" s="22"/>
      <c r="GG84" s="22"/>
      <c r="GH84" s="52"/>
      <c r="GI84" s="22"/>
      <c r="GJ84" s="22"/>
      <c r="GK84" s="22"/>
      <c r="GL84" s="52"/>
      <c r="GM84" s="22"/>
      <c r="GN84" s="22"/>
      <c r="GO84" s="22"/>
      <c r="GP84" s="52"/>
      <c r="GQ84" s="22"/>
      <c r="GR84" s="22"/>
      <c r="GS84" s="22"/>
      <c r="GT84" s="52"/>
      <c r="GU84" s="22"/>
      <c r="GV84" s="22"/>
      <c r="GW84" s="22"/>
      <c r="GX84" s="52"/>
      <c r="GY84" s="22"/>
      <c r="GZ84" s="22"/>
      <c r="HA84" s="22"/>
      <c r="HB84" s="52"/>
      <c r="HC84" s="22"/>
      <c r="HD84" s="22"/>
      <c r="HE84" s="22"/>
      <c r="HF84" s="52"/>
      <c r="HG84" s="22"/>
      <c r="HH84" s="22"/>
      <c r="HI84" s="22"/>
      <c r="HJ84" s="52"/>
      <c r="HK84" s="22"/>
      <c r="HL84" s="22"/>
      <c r="HM84" s="22"/>
      <c r="HN84" s="52"/>
      <c r="HO84" s="22"/>
      <c r="HP84" s="22"/>
      <c r="HQ84" s="22"/>
      <c r="HR84" s="52"/>
      <c r="HS84" s="22"/>
      <c r="HT84" s="22"/>
      <c r="HU84" s="22"/>
      <c r="HV84" s="52"/>
      <c r="HW84" s="22"/>
      <c r="HX84" s="22"/>
      <c r="HY84" s="22"/>
      <c r="HZ84" s="52"/>
      <c r="IA84" s="22"/>
      <c r="IB84" s="22"/>
      <c r="IC84" s="22"/>
      <c r="ID84" s="52"/>
      <c r="IE84" s="22"/>
      <c r="IF84" s="22"/>
      <c r="IG84" s="22"/>
      <c r="IH84" s="52"/>
      <c r="II84" s="22"/>
      <c r="IJ84" s="22"/>
      <c r="IK84" s="22"/>
      <c r="IL84" s="52"/>
      <c r="IM84" s="22"/>
      <c r="IN84" s="22"/>
      <c r="IO84" s="22"/>
      <c r="IP84" s="52"/>
      <c r="IQ84" s="22"/>
      <c r="IR84" s="22"/>
      <c r="IS84" s="22"/>
      <c r="IT84" s="52"/>
      <c r="IU84" s="22"/>
      <c r="IV84" s="22"/>
      <c r="IW84" s="22"/>
      <c r="IX84" s="52"/>
      <c r="IY84" s="22"/>
      <c r="IZ84" s="22"/>
      <c r="JA84" s="22"/>
      <c r="JB84" s="52"/>
      <c r="JC84" s="22"/>
      <c r="JD84" s="22"/>
    </row>
    <row r="85" spans="1:264" x14ac:dyDescent="0.25">
      <c r="A85" s="20" t="s">
        <v>152</v>
      </c>
      <c r="B85" s="671"/>
      <c r="C85" s="39" t="s">
        <v>2675</v>
      </c>
      <c r="D85" s="39"/>
      <c r="E85" s="39" t="s">
        <v>2676</v>
      </c>
      <c r="F85" s="39" t="s">
        <v>50</v>
      </c>
      <c r="G85" s="39" t="s">
        <v>2539</v>
      </c>
      <c r="H85" s="30" t="s">
        <v>2677</v>
      </c>
      <c r="I85" s="178"/>
      <c r="J85" s="178"/>
      <c r="K85" s="38" t="s">
        <v>1564</v>
      </c>
      <c r="L85" s="58" t="s">
        <v>325</v>
      </c>
      <c r="M85" s="679">
        <v>19.989999999999998</v>
      </c>
      <c r="N85" s="39">
        <v>12</v>
      </c>
      <c r="O85" s="279">
        <v>48</v>
      </c>
      <c r="P85" s="620">
        <v>0.21</v>
      </c>
      <c r="Q85" s="621">
        <v>5.5</v>
      </c>
      <c r="R85" s="621">
        <v>2.875</v>
      </c>
      <c r="S85" s="627">
        <v>1.25</v>
      </c>
      <c r="T85" s="397">
        <v>0.25</v>
      </c>
      <c r="U85" s="39">
        <v>7.5</v>
      </c>
      <c r="V85" s="39">
        <v>4</v>
      </c>
      <c r="W85" s="279">
        <v>1.375</v>
      </c>
      <c r="X85" s="397">
        <v>3.2</v>
      </c>
      <c r="Y85" s="39">
        <v>9</v>
      </c>
      <c r="Z85" s="39">
        <v>5.8</v>
      </c>
      <c r="AA85" s="279">
        <v>7.6</v>
      </c>
      <c r="AB85" s="397">
        <v>14.08</v>
      </c>
      <c r="AC85" s="39">
        <v>10</v>
      </c>
      <c r="AD85" s="39">
        <v>12.2</v>
      </c>
      <c r="AE85" s="279">
        <v>15.7</v>
      </c>
      <c r="AF85" s="42">
        <f>AC85*AD85*AE85/(12^3)</f>
        <v>1.108449074074074</v>
      </c>
      <c r="AG85" s="178"/>
      <c r="AH85" s="178"/>
      <c r="AI85" s="178"/>
      <c r="AJ85" s="178"/>
      <c r="AK85" s="178"/>
      <c r="AL85" s="178"/>
      <c r="AM85" s="178"/>
      <c r="AN85" s="178"/>
      <c r="AO85" s="53" t="s">
        <v>2794</v>
      </c>
      <c r="AP85" s="161" t="s">
        <v>1247</v>
      </c>
      <c r="AQ85" s="39"/>
    </row>
    <row r="86" spans="1:264" s="1" customFormat="1" x14ac:dyDescent="0.25">
      <c r="A86" s="112"/>
      <c r="B86" s="112"/>
      <c r="C86" s="110"/>
      <c r="D86" s="2"/>
      <c r="E86" s="111"/>
      <c r="G86" s="122"/>
      <c r="H86" s="113"/>
      <c r="I86" s="113"/>
      <c r="J86" s="113"/>
      <c r="K86" s="24"/>
      <c r="L86" s="302"/>
      <c r="M86" s="695"/>
      <c r="N86" s="3"/>
      <c r="O86" s="230"/>
      <c r="P86" s="620"/>
      <c r="Q86" s="621"/>
      <c r="R86" s="621"/>
      <c r="S86" s="630"/>
      <c r="T86" s="88"/>
      <c r="U86" s="90"/>
      <c r="V86" s="90"/>
      <c r="W86" s="89"/>
      <c r="X86" s="88"/>
      <c r="Y86" s="90"/>
      <c r="Z86" s="90"/>
      <c r="AA86" s="89"/>
      <c r="AB86" s="88"/>
      <c r="AC86" s="90"/>
      <c r="AD86" s="90"/>
      <c r="AE86" s="89"/>
      <c r="AF86" s="44"/>
      <c r="AG86" s="166"/>
      <c r="AH86" s="166"/>
      <c r="AI86" s="166"/>
      <c r="AJ86" s="166"/>
      <c r="AK86" s="166"/>
      <c r="AL86" s="166"/>
      <c r="AM86" s="48"/>
      <c r="AN86" s="167"/>
      <c r="AO86" s="166"/>
      <c r="AP86" s="166"/>
      <c r="AQ86" s="166"/>
    </row>
    <row r="87" spans="1:264" s="16" customFormat="1" ht="15.6" x14ac:dyDescent="0.3">
      <c r="A87" s="799" t="s">
        <v>1224</v>
      </c>
      <c r="B87" s="799"/>
      <c r="C87" s="799"/>
      <c r="D87" s="24"/>
      <c r="E87" s="22"/>
      <c r="G87" s="20"/>
      <c r="H87" s="31"/>
      <c r="I87" s="31"/>
      <c r="J87" s="31"/>
      <c r="K87" s="31"/>
      <c r="L87" s="300"/>
      <c r="M87" s="691"/>
      <c r="N87" s="19"/>
      <c r="O87" s="77"/>
      <c r="P87" s="620"/>
      <c r="Q87" s="621"/>
      <c r="R87" s="621"/>
      <c r="S87" s="617"/>
      <c r="T87" s="44"/>
      <c r="U87" s="17"/>
      <c r="V87" s="17"/>
      <c r="W87" s="45"/>
      <c r="X87" s="44"/>
      <c r="Y87" s="17"/>
      <c r="Z87" s="17"/>
      <c r="AA87" s="45"/>
      <c r="AB87" s="44"/>
      <c r="AC87" s="17"/>
      <c r="AD87" s="17"/>
      <c r="AE87" s="45"/>
      <c r="AF87" s="43"/>
      <c r="AG87" s="161"/>
      <c r="AH87" s="161"/>
      <c r="AI87" s="161"/>
      <c r="AJ87" s="161"/>
      <c r="AK87" s="161"/>
      <c r="AL87" s="161"/>
      <c r="AM87" s="48"/>
      <c r="AN87" s="159"/>
      <c r="AO87" s="48"/>
      <c r="AP87" s="48"/>
      <c r="AQ87" s="48"/>
    </row>
    <row r="88" spans="1:264" s="20" customFormat="1" x14ac:dyDescent="0.25">
      <c r="A88" s="20" t="s">
        <v>152</v>
      </c>
      <c r="B88" s="141"/>
      <c r="C88" s="35" t="s">
        <v>264</v>
      </c>
      <c r="D88" s="35"/>
      <c r="E88" s="36" t="s">
        <v>1202</v>
      </c>
      <c r="G88" s="20" t="s">
        <v>1528</v>
      </c>
      <c r="H88" s="30" t="s">
        <v>3</v>
      </c>
      <c r="I88" s="30" t="s">
        <v>2415</v>
      </c>
      <c r="J88" s="30" t="s">
        <v>2593</v>
      </c>
      <c r="K88" s="49" t="s">
        <v>1210</v>
      </c>
      <c r="L88" s="300" t="s">
        <v>329</v>
      </c>
      <c r="M88" s="678">
        <v>4.99</v>
      </c>
      <c r="N88" s="37">
        <v>12</v>
      </c>
      <c r="O88" s="583">
        <v>480</v>
      </c>
      <c r="P88" s="620">
        <v>5.5E-2</v>
      </c>
      <c r="Q88" s="621">
        <v>2.75</v>
      </c>
      <c r="R88" s="621"/>
      <c r="S88" s="623"/>
      <c r="T88" s="46">
        <f>CONVERT(35,"g","lbm")</f>
        <v>7.7161791764707152E-2</v>
      </c>
      <c r="U88" s="35">
        <v>4.5</v>
      </c>
      <c r="V88" s="35">
        <v>0.75</v>
      </c>
      <c r="W88" s="72">
        <v>4.5</v>
      </c>
      <c r="X88" s="46">
        <f>CONVERT(485,"g","lbm")</f>
        <v>1.0692419715966561</v>
      </c>
      <c r="Y88" s="35">
        <v>9</v>
      </c>
      <c r="Z88" s="35">
        <v>4.125</v>
      </c>
      <c r="AA88" s="72">
        <v>3</v>
      </c>
      <c r="AB88" s="46">
        <v>50.83</v>
      </c>
      <c r="AC88" s="35">
        <v>21.4</v>
      </c>
      <c r="AD88" s="35">
        <v>18.3</v>
      </c>
      <c r="AE88" s="72">
        <v>12.59</v>
      </c>
      <c r="AF88" s="44">
        <f t="shared" ref="AF88:AF102" si="6">AC88*AD88*AE88/(12^3)</f>
        <v>2.8532961805555552</v>
      </c>
      <c r="AG88" s="98" t="s">
        <v>1271</v>
      </c>
      <c r="AH88" s="98" t="s">
        <v>1264</v>
      </c>
      <c r="AI88" s="98" t="s">
        <v>1272</v>
      </c>
      <c r="AJ88" s="98" t="s">
        <v>1266</v>
      </c>
      <c r="AK88" s="20" t="s">
        <v>1267</v>
      </c>
      <c r="AL88" s="98" t="s">
        <v>9</v>
      </c>
      <c r="AM88" s="176" t="s">
        <v>1315</v>
      </c>
      <c r="AN88" s="98"/>
      <c r="AO88" s="157" t="s">
        <v>1273</v>
      </c>
      <c r="AP88" s="161" t="s">
        <v>1247</v>
      </c>
      <c r="AQ88" s="98"/>
    </row>
    <row r="89" spans="1:264" s="20" customFormat="1" x14ac:dyDescent="0.25">
      <c r="A89" s="20" t="s">
        <v>152</v>
      </c>
      <c r="B89" s="141"/>
      <c r="C89" s="35" t="s">
        <v>265</v>
      </c>
      <c r="D89" s="35"/>
      <c r="E89" s="36" t="s">
        <v>1203</v>
      </c>
      <c r="G89" s="20" t="s">
        <v>1518</v>
      </c>
      <c r="H89" s="30" t="s">
        <v>2</v>
      </c>
      <c r="I89" s="30" t="s">
        <v>2594</v>
      </c>
      <c r="J89" s="30" t="s">
        <v>2595</v>
      </c>
      <c r="K89" s="49" t="s">
        <v>1210</v>
      </c>
      <c r="L89" s="300" t="s">
        <v>329</v>
      </c>
      <c r="M89" s="678">
        <v>7.99</v>
      </c>
      <c r="N89" s="37">
        <v>12</v>
      </c>
      <c r="O89" s="583">
        <v>240</v>
      </c>
      <c r="P89" s="620">
        <v>0.11</v>
      </c>
      <c r="Q89" s="621">
        <v>2.75</v>
      </c>
      <c r="R89" s="621"/>
      <c r="S89" s="623"/>
      <c r="T89" s="46">
        <f>CONVERT(76,"g","lbm")</f>
        <v>0.16755131926050695</v>
      </c>
      <c r="U89" s="35">
        <v>3.25</v>
      </c>
      <c r="V89" s="35">
        <v>1.75</v>
      </c>
      <c r="W89" s="72">
        <v>3.125</v>
      </c>
      <c r="X89" s="46">
        <f>CONVERT(890,"g","lbm")</f>
        <v>1.9621141334454104</v>
      </c>
      <c r="Y89" s="35">
        <v>6.875</v>
      </c>
      <c r="Z89" s="35">
        <v>5.25</v>
      </c>
      <c r="AA89" s="72">
        <v>3.75</v>
      </c>
      <c r="AB89" s="46">
        <v>31.68</v>
      </c>
      <c r="AC89" s="35">
        <v>18</v>
      </c>
      <c r="AD89" s="35">
        <v>14.5</v>
      </c>
      <c r="AE89" s="72">
        <v>11.5</v>
      </c>
      <c r="AF89" s="46">
        <f t="shared" si="6"/>
        <v>1.7369791666666667</v>
      </c>
      <c r="AG89" s="98" t="s">
        <v>1271</v>
      </c>
      <c r="AH89" s="98" t="s">
        <v>1264</v>
      </c>
      <c r="AI89" s="98" t="s">
        <v>1272</v>
      </c>
      <c r="AJ89" s="98" t="s">
        <v>1266</v>
      </c>
      <c r="AK89" s="20" t="s">
        <v>1267</v>
      </c>
      <c r="AL89" s="98" t="s">
        <v>10</v>
      </c>
      <c r="AM89" s="176" t="s">
        <v>1315</v>
      </c>
      <c r="AN89" s="98"/>
      <c r="AO89" s="157" t="s">
        <v>1274</v>
      </c>
      <c r="AP89" s="161" t="s">
        <v>1247</v>
      </c>
      <c r="AQ89" s="98"/>
    </row>
    <row r="90" spans="1:264" s="16" customFormat="1" x14ac:dyDescent="0.25">
      <c r="A90" s="20" t="s">
        <v>152</v>
      </c>
      <c r="B90" s="141"/>
      <c r="C90" s="21" t="s">
        <v>352</v>
      </c>
      <c r="D90" s="21"/>
      <c r="E90" s="22" t="s">
        <v>1211</v>
      </c>
      <c r="G90" s="20" t="s">
        <v>1485</v>
      </c>
      <c r="H90" s="31" t="s">
        <v>182</v>
      </c>
      <c r="I90" s="30" t="s">
        <v>2600</v>
      </c>
      <c r="J90" s="30" t="s">
        <v>2601</v>
      </c>
      <c r="K90" s="31" t="s">
        <v>1210</v>
      </c>
      <c r="L90" s="301" t="s">
        <v>329</v>
      </c>
      <c r="M90" s="691">
        <v>4.99</v>
      </c>
      <c r="N90" s="37">
        <v>30</v>
      </c>
      <c r="O90" s="583">
        <v>480</v>
      </c>
      <c r="P90" s="620">
        <v>5.5E-2</v>
      </c>
      <c r="Q90" s="621">
        <v>2.75</v>
      </c>
      <c r="R90" s="621"/>
      <c r="S90" s="623"/>
      <c r="T90" s="46">
        <v>0.05</v>
      </c>
      <c r="U90" s="35">
        <v>3.125</v>
      </c>
      <c r="V90" s="35">
        <v>0.75</v>
      </c>
      <c r="W90" s="72">
        <v>1.5625</v>
      </c>
      <c r="X90" s="46">
        <f>CONVERT(985,"g","lbm")</f>
        <v>2.1715532825210442</v>
      </c>
      <c r="Y90" s="35">
        <v>6.75</v>
      </c>
      <c r="Z90" s="35">
        <v>5.375</v>
      </c>
      <c r="AA90" s="72">
        <v>4.5</v>
      </c>
      <c r="AB90" s="46">
        <v>32.6</v>
      </c>
      <c r="AC90" s="35">
        <v>22.5</v>
      </c>
      <c r="AD90" s="35">
        <v>13.5</v>
      </c>
      <c r="AE90" s="72">
        <v>9.75</v>
      </c>
      <c r="AF90" s="46">
        <f t="shared" si="6"/>
        <v>1.7138671875</v>
      </c>
      <c r="AG90" s="98" t="s">
        <v>1271</v>
      </c>
      <c r="AH90" s="98" t="s">
        <v>1264</v>
      </c>
      <c r="AI90" s="98" t="s">
        <v>1272</v>
      </c>
      <c r="AJ90" s="98" t="s">
        <v>1266</v>
      </c>
      <c r="AK90" s="20" t="s">
        <v>1267</v>
      </c>
      <c r="AL90" s="98" t="s">
        <v>9</v>
      </c>
      <c r="AM90" s="176" t="s">
        <v>1315</v>
      </c>
      <c r="AN90" s="98"/>
      <c r="AO90" s="157" t="s">
        <v>1273</v>
      </c>
      <c r="AP90" s="161" t="s">
        <v>1247</v>
      </c>
      <c r="AQ90" s="48"/>
    </row>
    <row r="91" spans="1:264" s="16" customFormat="1" x14ac:dyDescent="0.25">
      <c r="A91" s="20" t="s">
        <v>152</v>
      </c>
      <c r="B91" s="141"/>
      <c r="C91" s="21" t="s">
        <v>351</v>
      </c>
      <c r="D91" s="21"/>
      <c r="E91" s="22" t="s">
        <v>1204</v>
      </c>
      <c r="G91" s="20" t="s">
        <v>1487</v>
      </c>
      <c r="H91" s="66" t="s">
        <v>350</v>
      </c>
      <c r="I91" s="30" t="s">
        <v>2600</v>
      </c>
      <c r="J91" s="30" t="s">
        <v>2601</v>
      </c>
      <c r="K91" s="31" t="s">
        <v>1210</v>
      </c>
      <c r="L91" s="301" t="s">
        <v>329</v>
      </c>
      <c r="M91" s="691">
        <v>4.99</v>
      </c>
      <c r="N91" s="37">
        <v>30</v>
      </c>
      <c r="O91" s="583">
        <v>480</v>
      </c>
      <c r="P91" s="620">
        <v>5.5E-2</v>
      </c>
      <c r="Q91" s="621">
        <v>2.75</v>
      </c>
      <c r="R91" s="621"/>
      <c r="S91" s="623"/>
      <c r="T91" s="46">
        <v>0.05</v>
      </c>
      <c r="U91" s="35">
        <v>3.125</v>
      </c>
      <c r="V91" s="35">
        <v>0.75</v>
      </c>
      <c r="W91" s="72">
        <v>1.5625</v>
      </c>
      <c r="X91" s="46">
        <f>CONVERT(985,"g","lbm")</f>
        <v>2.1715532825210442</v>
      </c>
      <c r="Y91" s="35">
        <v>6.75</v>
      </c>
      <c r="Z91" s="35">
        <v>5.375</v>
      </c>
      <c r="AA91" s="72">
        <v>4.5</v>
      </c>
      <c r="AB91" s="46">
        <v>32.6</v>
      </c>
      <c r="AC91" s="35">
        <v>22.5</v>
      </c>
      <c r="AD91" s="35">
        <v>13.5</v>
      </c>
      <c r="AE91" s="72">
        <v>9.75</v>
      </c>
      <c r="AF91" s="46">
        <f t="shared" si="6"/>
        <v>1.7138671875</v>
      </c>
      <c r="AG91" s="169" t="s">
        <v>1279</v>
      </c>
      <c r="AH91" s="169" t="s">
        <v>1280</v>
      </c>
      <c r="AI91" s="169"/>
      <c r="AJ91" s="163"/>
      <c r="AK91" s="169"/>
      <c r="AL91" s="169"/>
      <c r="AM91" s="98"/>
      <c r="AN91" s="160"/>
      <c r="AO91" s="98"/>
      <c r="AP91" s="169"/>
      <c r="AQ91" s="98"/>
    </row>
    <row r="92" spans="1:264" s="20" customFormat="1" x14ac:dyDescent="0.25">
      <c r="A92" s="20" t="s">
        <v>152</v>
      </c>
      <c r="B92" s="141"/>
      <c r="C92" s="35" t="s">
        <v>212</v>
      </c>
      <c r="D92" s="35" t="s">
        <v>81</v>
      </c>
      <c r="E92" s="22" t="s">
        <v>1201</v>
      </c>
      <c r="F92" s="20" t="s">
        <v>112</v>
      </c>
      <c r="G92" s="20" t="s">
        <v>1518</v>
      </c>
      <c r="H92" s="30" t="s">
        <v>213</v>
      </c>
      <c r="I92" s="30" t="s">
        <v>2628</v>
      </c>
      <c r="J92" s="30" t="s">
        <v>2629</v>
      </c>
      <c r="K92" s="31" t="s">
        <v>1210</v>
      </c>
      <c r="L92" s="300" t="s">
        <v>329</v>
      </c>
      <c r="M92" s="678">
        <v>7.99</v>
      </c>
      <c r="N92" s="37">
        <v>12</v>
      </c>
      <c r="O92" s="228">
        <v>240</v>
      </c>
      <c r="P92" s="620">
        <f>CONVERT(48,"g","lbm")</f>
        <v>0.10582188584874123</v>
      </c>
      <c r="Q92" s="621">
        <v>1.5</v>
      </c>
      <c r="R92" s="621">
        <v>1.5</v>
      </c>
      <c r="S92" s="623">
        <v>3.125</v>
      </c>
      <c r="T92" s="46">
        <v>0.12</v>
      </c>
      <c r="U92" s="35">
        <v>1.625</v>
      </c>
      <c r="V92" s="35">
        <v>1.625</v>
      </c>
      <c r="W92" s="72">
        <v>4.875</v>
      </c>
      <c r="X92" s="46">
        <v>1.7</v>
      </c>
      <c r="Y92" s="35">
        <v>7</v>
      </c>
      <c r="Z92" s="35">
        <v>5.5</v>
      </c>
      <c r="AA92" s="72">
        <v>3.6749999999999998</v>
      </c>
      <c r="AB92" s="46">
        <v>33</v>
      </c>
      <c r="AC92" s="35">
        <v>18.75</v>
      </c>
      <c r="AD92" s="35">
        <v>14.75</v>
      </c>
      <c r="AE92" s="72">
        <v>11.5</v>
      </c>
      <c r="AF92" s="46">
        <f t="shared" si="6"/>
        <v>1.8405490451388888</v>
      </c>
      <c r="AG92" s="157" t="s">
        <v>1269</v>
      </c>
      <c r="AH92" s="157" t="s">
        <v>1270</v>
      </c>
      <c r="AI92" s="156" t="s">
        <v>1281</v>
      </c>
      <c r="AJ92" s="157" t="s">
        <v>1264</v>
      </c>
      <c r="AK92" s="157" t="s">
        <v>1272</v>
      </c>
      <c r="AL92" s="98" t="s">
        <v>1266</v>
      </c>
      <c r="AM92" s="20" t="s">
        <v>1267</v>
      </c>
      <c r="AN92" s="176" t="s">
        <v>1316</v>
      </c>
      <c r="AO92" s="157" t="s">
        <v>1282</v>
      </c>
      <c r="AP92" s="161" t="s">
        <v>1247</v>
      </c>
      <c r="AQ92" s="98"/>
    </row>
    <row r="93" spans="1:264" s="16" customFormat="1" x14ac:dyDescent="0.25">
      <c r="A93" s="20" t="s">
        <v>152</v>
      </c>
      <c r="B93" s="141"/>
      <c r="C93" s="21" t="s">
        <v>212</v>
      </c>
      <c r="D93" s="21" t="s">
        <v>92</v>
      </c>
      <c r="E93" s="22" t="s">
        <v>1201</v>
      </c>
      <c r="F93" s="16" t="s">
        <v>51</v>
      </c>
      <c r="G93" s="20" t="s">
        <v>1518</v>
      </c>
      <c r="H93" s="30" t="s">
        <v>272</v>
      </c>
      <c r="I93" s="30" t="s">
        <v>2416</v>
      </c>
      <c r="J93" s="30" t="s">
        <v>2630</v>
      </c>
      <c r="K93" s="31" t="s">
        <v>1210</v>
      </c>
      <c r="L93" s="300" t="s">
        <v>329</v>
      </c>
      <c r="M93" s="678">
        <v>7.99</v>
      </c>
      <c r="N93" s="37">
        <v>10</v>
      </c>
      <c r="O93" s="77">
        <v>240</v>
      </c>
      <c r="P93" s="620">
        <f>CONVERT(48,"g","lbm")</f>
        <v>0.10582188584874123</v>
      </c>
      <c r="Q93" s="621">
        <v>1.5</v>
      </c>
      <c r="R93" s="621">
        <v>1.5</v>
      </c>
      <c r="S93" s="623">
        <v>3.125</v>
      </c>
      <c r="T93" s="46">
        <f>CONVERT(60,"g","lbm")</f>
        <v>0.13227735731092655</v>
      </c>
      <c r="U93" s="35">
        <v>1.125</v>
      </c>
      <c r="V93" s="35">
        <v>1.125</v>
      </c>
      <c r="W93" s="72">
        <v>4.875</v>
      </c>
      <c r="X93" s="46">
        <f>CONVERT(845,"g","lbm")</f>
        <v>1.8629061154622155</v>
      </c>
      <c r="Y93" s="35">
        <v>9.125</v>
      </c>
      <c r="Z93" s="35">
        <v>7.125</v>
      </c>
      <c r="AA93" s="72">
        <v>3.25</v>
      </c>
      <c r="AB93" s="46">
        <v>39</v>
      </c>
      <c r="AC93" s="35">
        <v>20</v>
      </c>
      <c r="AD93" s="35">
        <v>15</v>
      </c>
      <c r="AE93" s="72">
        <v>20.5</v>
      </c>
      <c r="AF93" s="44">
        <f t="shared" si="6"/>
        <v>3.5590277777777777</v>
      </c>
      <c r="AG93" s="157" t="s">
        <v>1269</v>
      </c>
      <c r="AH93" s="157" t="s">
        <v>1270</v>
      </c>
      <c r="AI93" s="156" t="s">
        <v>1281</v>
      </c>
      <c r="AJ93" s="157" t="s">
        <v>1264</v>
      </c>
      <c r="AK93" s="157" t="s">
        <v>1272</v>
      </c>
      <c r="AL93" s="98" t="s">
        <v>1266</v>
      </c>
      <c r="AM93" s="20" t="s">
        <v>1267</v>
      </c>
      <c r="AN93" s="176" t="s">
        <v>1316</v>
      </c>
      <c r="AO93" s="157" t="s">
        <v>1282</v>
      </c>
      <c r="AP93" s="161" t="s">
        <v>1247</v>
      </c>
      <c r="AQ93" s="48"/>
    </row>
    <row r="94" spans="1:264" s="20" customFormat="1" x14ac:dyDescent="0.25">
      <c r="A94" s="20" t="s">
        <v>152</v>
      </c>
      <c r="B94" s="141"/>
      <c r="C94" s="35" t="s">
        <v>212</v>
      </c>
      <c r="D94" s="35" t="s">
        <v>90</v>
      </c>
      <c r="E94" s="22" t="s">
        <v>1201</v>
      </c>
      <c r="F94" s="20" t="s">
        <v>110</v>
      </c>
      <c r="G94" s="20" t="s">
        <v>1518</v>
      </c>
      <c r="H94" s="30" t="s">
        <v>214</v>
      </c>
      <c r="I94" s="30" t="s">
        <v>2626</v>
      </c>
      <c r="J94" s="30" t="s">
        <v>2627</v>
      </c>
      <c r="K94" s="31" t="s">
        <v>1210</v>
      </c>
      <c r="L94" s="300" t="s">
        <v>329</v>
      </c>
      <c r="M94" s="678">
        <v>7.99</v>
      </c>
      <c r="N94" s="37">
        <v>12</v>
      </c>
      <c r="O94" s="228">
        <v>240</v>
      </c>
      <c r="P94" s="620">
        <f>CONVERT(48,"g","lbm")</f>
        <v>0.10582188584874123</v>
      </c>
      <c r="Q94" s="621">
        <v>1.5</v>
      </c>
      <c r="R94" s="621">
        <v>1.5</v>
      </c>
      <c r="S94" s="623">
        <v>3.125</v>
      </c>
      <c r="T94" s="46">
        <v>0.12</v>
      </c>
      <c r="U94" s="35">
        <v>1.625</v>
      </c>
      <c r="V94" s="35">
        <v>1.625</v>
      </c>
      <c r="W94" s="72">
        <v>4.875</v>
      </c>
      <c r="X94" s="46">
        <v>1.7</v>
      </c>
      <c r="Y94" s="35">
        <v>7</v>
      </c>
      <c r="Z94" s="35">
        <v>5.5</v>
      </c>
      <c r="AA94" s="72">
        <v>3.6749999999999998</v>
      </c>
      <c r="AB94" s="46">
        <v>33</v>
      </c>
      <c r="AC94" s="35">
        <v>18.75</v>
      </c>
      <c r="AD94" s="35">
        <v>14.75</v>
      </c>
      <c r="AE94" s="72">
        <v>11.5</v>
      </c>
      <c r="AF94" s="44">
        <f t="shared" si="6"/>
        <v>1.8405490451388888</v>
      </c>
      <c r="AG94" s="157" t="s">
        <v>1269</v>
      </c>
      <c r="AH94" s="157" t="s">
        <v>1270</v>
      </c>
      <c r="AI94" s="156" t="s">
        <v>1281</v>
      </c>
      <c r="AJ94" s="157" t="s">
        <v>1264</v>
      </c>
      <c r="AK94" s="157" t="s">
        <v>1272</v>
      </c>
      <c r="AL94" s="98" t="s">
        <v>1266</v>
      </c>
      <c r="AM94" s="20" t="s">
        <v>1267</v>
      </c>
      <c r="AN94" s="176" t="s">
        <v>1316</v>
      </c>
      <c r="AO94" s="157" t="s">
        <v>1282</v>
      </c>
      <c r="AP94" s="161" t="s">
        <v>1247</v>
      </c>
      <c r="AQ94" s="98"/>
    </row>
    <row r="95" spans="1:264" s="20" customFormat="1" x14ac:dyDescent="0.25">
      <c r="A95" s="20" t="s">
        <v>152</v>
      </c>
      <c r="B95" s="141"/>
      <c r="C95" s="35" t="s">
        <v>1084</v>
      </c>
      <c r="D95" s="35"/>
      <c r="E95" s="22" t="s">
        <v>1200</v>
      </c>
      <c r="F95" s="20" t="s">
        <v>2541</v>
      </c>
      <c r="G95" s="20" t="s">
        <v>1507</v>
      </c>
      <c r="H95" s="30" t="s">
        <v>1087</v>
      </c>
      <c r="I95" s="140"/>
      <c r="J95" s="140"/>
      <c r="K95" s="31" t="s">
        <v>1210</v>
      </c>
      <c r="L95" s="300" t="s">
        <v>329</v>
      </c>
      <c r="M95" s="678">
        <v>9.99</v>
      </c>
      <c r="N95" s="37">
        <v>12</v>
      </c>
      <c r="O95" s="228">
        <v>144</v>
      </c>
      <c r="P95" s="620">
        <v>0.18</v>
      </c>
      <c r="Q95" s="621">
        <v>1.5</v>
      </c>
      <c r="R95" s="621">
        <v>1.5</v>
      </c>
      <c r="S95" s="623">
        <v>4.5</v>
      </c>
      <c r="T95" s="46">
        <f>3.1/16</f>
        <v>0.19375000000000001</v>
      </c>
      <c r="U95" s="35">
        <v>4</v>
      </c>
      <c r="V95" s="35">
        <v>1.5</v>
      </c>
      <c r="W95" s="72">
        <v>6.25</v>
      </c>
      <c r="X95" s="46">
        <f>CONVERT(1250,"g","lbm")</f>
        <v>2.7557782773109696</v>
      </c>
      <c r="Y95" s="35">
        <v>8</v>
      </c>
      <c r="Z95" s="35">
        <v>7</v>
      </c>
      <c r="AA95" s="72">
        <v>6.5</v>
      </c>
      <c r="AB95" s="46">
        <v>39</v>
      </c>
      <c r="AC95" s="35">
        <v>21.5</v>
      </c>
      <c r="AD95" s="35">
        <v>16.5</v>
      </c>
      <c r="AE95" s="72">
        <v>14</v>
      </c>
      <c r="AF95" s="44">
        <f t="shared" si="6"/>
        <v>2.8741319444444446</v>
      </c>
      <c r="AG95" s="139" t="s">
        <v>1269</v>
      </c>
      <c r="AH95" s="139" t="s">
        <v>1270</v>
      </c>
      <c r="AI95" s="139" t="s">
        <v>1263</v>
      </c>
      <c r="AJ95" s="139" t="s">
        <v>1264</v>
      </c>
      <c r="AK95" s="139" t="s">
        <v>1265</v>
      </c>
      <c r="AL95" s="139" t="s">
        <v>1266</v>
      </c>
      <c r="AM95" s="139" t="s">
        <v>1267</v>
      </c>
      <c r="AN95" s="367" t="s">
        <v>1681</v>
      </c>
      <c r="AO95" s="176" t="s">
        <v>1268</v>
      </c>
      <c r="AP95" s="161" t="s">
        <v>1247</v>
      </c>
      <c r="AQ95" s="98"/>
    </row>
    <row r="96" spans="1:264" s="20" customFormat="1" x14ac:dyDescent="0.25">
      <c r="A96" s="20" t="s">
        <v>152</v>
      </c>
      <c r="B96" s="141"/>
      <c r="C96" s="35" t="s">
        <v>1085</v>
      </c>
      <c r="D96" s="35"/>
      <c r="E96" s="22" t="s">
        <v>1209</v>
      </c>
      <c r="G96" s="20" t="s">
        <v>1528</v>
      </c>
      <c r="H96" s="30" t="s">
        <v>1086</v>
      </c>
      <c r="I96" s="140"/>
      <c r="J96" s="140"/>
      <c r="K96" s="31" t="s">
        <v>1210</v>
      </c>
      <c r="L96" s="300" t="s">
        <v>329</v>
      </c>
      <c r="M96" s="678">
        <v>9.99</v>
      </c>
      <c r="N96" s="37">
        <v>12</v>
      </c>
      <c r="O96" s="228">
        <v>180</v>
      </c>
      <c r="P96" s="620">
        <v>0.21</v>
      </c>
      <c r="Q96" s="621">
        <v>4.125</v>
      </c>
      <c r="R96" s="621"/>
      <c r="S96" s="623"/>
      <c r="T96" s="46">
        <v>0.23</v>
      </c>
      <c r="U96" s="35">
        <v>6</v>
      </c>
      <c r="V96" s="35">
        <v>1.125</v>
      </c>
      <c r="W96" s="72">
        <v>5.5</v>
      </c>
      <c r="X96" s="46">
        <f>50.1/16</f>
        <v>3.1312500000000001</v>
      </c>
      <c r="Y96" s="35">
        <v>11.625</v>
      </c>
      <c r="Z96" s="35">
        <v>5.875</v>
      </c>
      <c r="AA96" s="72">
        <v>4</v>
      </c>
      <c r="AB96" s="46">
        <v>52</v>
      </c>
      <c r="AC96" s="35">
        <v>21</v>
      </c>
      <c r="AD96" s="35">
        <v>18.75</v>
      </c>
      <c r="AE96" s="72">
        <v>12.5</v>
      </c>
      <c r="AF96" s="44">
        <f t="shared" si="6"/>
        <v>2.8483072916666665</v>
      </c>
      <c r="AG96" s="139" t="s">
        <v>1263</v>
      </c>
      <c r="AH96" s="139" t="s">
        <v>1264</v>
      </c>
      <c r="AI96" s="139" t="s">
        <v>1265</v>
      </c>
      <c r="AJ96" s="139" t="s">
        <v>1266</v>
      </c>
      <c r="AK96" s="139" t="s">
        <v>1267</v>
      </c>
      <c r="AL96" s="367" t="s">
        <v>1680</v>
      </c>
      <c r="AM96" s="98"/>
      <c r="AO96" s="176" t="s">
        <v>1262</v>
      </c>
      <c r="AP96" s="161" t="s">
        <v>1247</v>
      </c>
      <c r="AQ96" s="98"/>
    </row>
    <row r="97" spans="1:43" s="16" customFormat="1" x14ac:dyDescent="0.25">
      <c r="A97" s="20" t="s">
        <v>152</v>
      </c>
      <c r="B97" s="141"/>
      <c r="C97" s="21" t="s">
        <v>266</v>
      </c>
      <c r="D97" s="21" t="s">
        <v>92</v>
      </c>
      <c r="E97" s="22" t="s">
        <v>651</v>
      </c>
      <c r="F97" s="16" t="s">
        <v>51</v>
      </c>
      <c r="G97" s="20" t="s">
        <v>1507</v>
      </c>
      <c r="H97" s="31" t="s">
        <v>271</v>
      </c>
      <c r="I97" s="140" t="s">
        <v>2598</v>
      </c>
      <c r="J97" s="140" t="s">
        <v>2599</v>
      </c>
      <c r="K97" s="31" t="s">
        <v>1212</v>
      </c>
      <c r="L97" s="300" t="s">
        <v>329</v>
      </c>
      <c r="M97" s="691">
        <v>2.99</v>
      </c>
      <c r="N97" s="19">
        <v>12</v>
      </c>
      <c r="O97" s="583">
        <v>480</v>
      </c>
      <c r="P97" s="620">
        <f>CONVERT(23,"g","lbm")</f>
        <v>5.070632030252184E-2</v>
      </c>
      <c r="Q97" s="621">
        <v>1.5</v>
      </c>
      <c r="R97" s="621">
        <v>1.5</v>
      </c>
      <c r="S97" s="623">
        <v>3.125</v>
      </c>
      <c r="T97" s="46">
        <f>CONVERT(35,"g","lbm")</f>
        <v>7.7161791764707152E-2</v>
      </c>
      <c r="U97" s="35">
        <v>4</v>
      </c>
      <c r="V97" s="35">
        <v>1.625</v>
      </c>
      <c r="W97" s="72">
        <v>4.875</v>
      </c>
      <c r="X97" s="46">
        <f>CONVERT(555,"g","lbm")</f>
        <v>1.2235655551260705</v>
      </c>
      <c r="Y97" s="35">
        <v>9.75</v>
      </c>
      <c r="Z97" s="35">
        <v>8.75</v>
      </c>
      <c r="AA97" s="72">
        <v>3.625</v>
      </c>
      <c r="AB97" s="46">
        <v>43.34</v>
      </c>
      <c r="AC97" s="35">
        <v>35.4</v>
      </c>
      <c r="AD97" s="35">
        <v>19.600000000000001</v>
      </c>
      <c r="AE97" s="72">
        <v>18.5</v>
      </c>
      <c r="AF97" s="44">
        <f t="shared" si="6"/>
        <v>7.428263888888889</v>
      </c>
      <c r="AG97" s="161" t="s">
        <v>1291</v>
      </c>
      <c r="AH97" s="161" t="s">
        <v>1293</v>
      </c>
      <c r="AI97" s="139" t="s">
        <v>1292</v>
      </c>
      <c r="AJ97" s="139" t="s">
        <v>1294</v>
      </c>
      <c r="AK97" s="139" t="s">
        <v>1295</v>
      </c>
      <c r="AL97" s="176" t="s">
        <v>1317</v>
      </c>
      <c r="AM97" s="48"/>
      <c r="AO97" s="139" t="s">
        <v>1290</v>
      </c>
      <c r="AP97" s="161" t="s">
        <v>1247</v>
      </c>
      <c r="AQ97" s="48"/>
    </row>
    <row r="98" spans="1:43" s="16" customFormat="1" x14ac:dyDescent="0.25">
      <c r="A98" s="20" t="s">
        <v>152</v>
      </c>
      <c r="B98" s="141"/>
      <c r="C98" s="35" t="s">
        <v>298</v>
      </c>
      <c r="D98" s="21"/>
      <c r="E98" s="36" t="s">
        <v>1205</v>
      </c>
      <c r="G98" s="20" t="s">
        <v>1529</v>
      </c>
      <c r="H98" s="31" t="s">
        <v>306</v>
      </c>
      <c r="I98" s="290"/>
      <c r="J98" s="290"/>
      <c r="K98" s="31" t="s">
        <v>1210</v>
      </c>
      <c r="L98" s="300" t="s">
        <v>329</v>
      </c>
      <c r="M98" s="691">
        <v>1.59</v>
      </c>
      <c r="N98" s="37">
        <v>50</v>
      </c>
      <c r="O98" s="228">
        <v>1000</v>
      </c>
      <c r="P98" s="620">
        <v>1.7999999999999999E-2</v>
      </c>
      <c r="Q98" s="621">
        <v>2.125</v>
      </c>
      <c r="R98" s="621"/>
      <c r="S98" s="623"/>
      <c r="T98" s="46">
        <v>1.7999999999999999E-2</v>
      </c>
      <c r="U98" s="35">
        <v>2</v>
      </c>
      <c r="V98" s="35">
        <v>0.25</v>
      </c>
      <c r="W98" s="72">
        <v>3</v>
      </c>
      <c r="X98" s="46">
        <v>1</v>
      </c>
      <c r="Y98" s="35">
        <v>7.25</v>
      </c>
      <c r="Z98" s="35">
        <v>6.375</v>
      </c>
      <c r="AA98" s="72">
        <v>2.125</v>
      </c>
      <c r="AB98" s="46">
        <v>21.08</v>
      </c>
      <c r="AC98" s="35">
        <v>15</v>
      </c>
      <c r="AD98" s="35">
        <v>10.75</v>
      </c>
      <c r="AE98" s="72">
        <v>13.25</v>
      </c>
      <c r="AF98" s="44">
        <f t="shared" si="6"/>
        <v>1.2364366319444444</v>
      </c>
      <c r="AG98" s="98" t="s">
        <v>1287</v>
      </c>
      <c r="AH98" s="172" t="s">
        <v>1264</v>
      </c>
      <c r="AI98" s="172" t="s">
        <v>1288</v>
      </c>
      <c r="AJ98" s="172" t="s">
        <v>1289</v>
      </c>
      <c r="AK98" s="309" t="s">
        <v>1267</v>
      </c>
      <c r="AL98" s="176" t="s">
        <v>1319</v>
      </c>
      <c r="AM98" s="48"/>
      <c r="AN98" s="159"/>
      <c r="AO98" s="22" t="s">
        <v>1285</v>
      </c>
      <c r="AP98" s="161" t="s">
        <v>1247</v>
      </c>
      <c r="AQ98" s="48"/>
    </row>
    <row r="99" spans="1:43" s="16" customFormat="1" x14ac:dyDescent="0.25">
      <c r="A99" s="20" t="s">
        <v>152</v>
      </c>
      <c r="B99" s="141"/>
      <c r="C99" s="35" t="s">
        <v>299</v>
      </c>
      <c r="D99" s="20"/>
      <c r="E99" s="36" t="s">
        <v>1206</v>
      </c>
      <c r="F99" s="16" t="s">
        <v>5</v>
      </c>
      <c r="G99" s="20" t="s">
        <v>1507</v>
      </c>
      <c r="H99" s="31" t="s">
        <v>307</v>
      </c>
      <c r="I99" s="30" t="s">
        <v>2596</v>
      </c>
      <c r="J99" s="30" t="s">
        <v>2597</v>
      </c>
      <c r="K99" s="31" t="s">
        <v>1210</v>
      </c>
      <c r="L99" s="300" t="s">
        <v>329</v>
      </c>
      <c r="M99" s="691">
        <v>2.99</v>
      </c>
      <c r="N99" s="19">
        <v>12</v>
      </c>
      <c r="O99" s="583">
        <v>480</v>
      </c>
      <c r="P99" s="620">
        <f>CONVERT(15,"g","lbm")</f>
        <v>3.3069339327731637E-2</v>
      </c>
      <c r="Q99" s="621">
        <v>1.125</v>
      </c>
      <c r="R99" s="621">
        <v>1.125</v>
      </c>
      <c r="S99" s="623">
        <v>2.5</v>
      </c>
      <c r="T99" s="46">
        <f>CONVERT(25,"g","lbm")</f>
        <v>5.5115565546219394E-2</v>
      </c>
      <c r="U99" s="35">
        <v>3.5</v>
      </c>
      <c r="V99" s="35">
        <v>1.25</v>
      </c>
      <c r="W99" s="72">
        <v>4.375</v>
      </c>
      <c r="X99" s="46">
        <f>CONVERT(340,"g","lbm")</f>
        <v>0.74957169142858371</v>
      </c>
      <c r="Y99" s="35">
        <v>6.125</v>
      </c>
      <c r="Z99" s="35">
        <v>5.25</v>
      </c>
      <c r="AA99" s="72">
        <v>4.625</v>
      </c>
      <c r="AB99" s="46">
        <v>32.450000000000003</v>
      </c>
      <c r="AC99" s="35">
        <v>27</v>
      </c>
      <c r="AD99" s="35">
        <v>13</v>
      </c>
      <c r="AE99" s="72">
        <v>19.5</v>
      </c>
      <c r="AF99" s="44">
        <f t="shared" si="6"/>
        <v>3.9609375</v>
      </c>
      <c r="AG99" s="172" t="s">
        <v>1283</v>
      </c>
      <c r="AH99" s="172" t="s">
        <v>1264</v>
      </c>
      <c r="AI99" s="172" t="s">
        <v>1288</v>
      </c>
      <c r="AJ99" s="172" t="s">
        <v>1284</v>
      </c>
      <c r="AK99" s="309" t="s">
        <v>1267</v>
      </c>
      <c r="AL99" s="176" t="s">
        <v>1318</v>
      </c>
      <c r="AM99" s="48"/>
      <c r="AN99" s="168"/>
      <c r="AO99" s="309" t="s">
        <v>1286</v>
      </c>
      <c r="AP99" s="161" t="s">
        <v>1247</v>
      </c>
      <c r="AQ99" s="48"/>
    </row>
    <row r="100" spans="1:43" s="16" customFormat="1" x14ac:dyDescent="0.25">
      <c r="A100" s="20" t="s">
        <v>152</v>
      </c>
      <c r="B100" s="141"/>
      <c r="C100" s="21" t="s">
        <v>267</v>
      </c>
      <c r="D100" s="21"/>
      <c r="E100" s="22" t="s">
        <v>1207</v>
      </c>
      <c r="G100" s="20" t="s">
        <v>1518</v>
      </c>
      <c r="H100" s="31" t="s">
        <v>270</v>
      </c>
      <c r="I100" s="30" t="s">
        <v>2624</v>
      </c>
      <c r="J100" s="30" t="s">
        <v>2625</v>
      </c>
      <c r="K100" s="31" t="s">
        <v>1210</v>
      </c>
      <c r="L100" s="300" t="s">
        <v>329</v>
      </c>
      <c r="M100" s="691">
        <v>2.99</v>
      </c>
      <c r="N100" s="19">
        <v>12</v>
      </c>
      <c r="O100" s="228">
        <v>240</v>
      </c>
      <c r="P100" s="620">
        <v>0.12</v>
      </c>
      <c r="Q100" s="621">
        <v>2.125</v>
      </c>
      <c r="R100" s="621"/>
      <c r="S100" s="623"/>
      <c r="T100" s="46">
        <f>CONVERT(65,"g","lbm")</f>
        <v>0.14330047042017041</v>
      </c>
      <c r="U100" s="35">
        <v>5</v>
      </c>
      <c r="V100" s="35">
        <v>1.5</v>
      </c>
      <c r="W100" s="72">
        <v>2.875</v>
      </c>
      <c r="X100" s="46">
        <f>CONVERT(880,"g","lbm")</f>
        <v>1.9400679072269227</v>
      </c>
      <c r="Y100" s="35">
        <v>10.25</v>
      </c>
      <c r="Z100" s="35">
        <v>5.75</v>
      </c>
      <c r="AA100" s="72">
        <v>3.25</v>
      </c>
      <c r="AB100" s="46">
        <v>42</v>
      </c>
      <c r="AC100" s="35">
        <v>21</v>
      </c>
      <c r="AD100" s="35">
        <v>16.5</v>
      </c>
      <c r="AE100" s="72">
        <v>11</v>
      </c>
      <c r="AF100" s="44">
        <f t="shared" si="6"/>
        <v>2.2057291666666665</v>
      </c>
      <c r="AG100" s="22" t="s">
        <v>1297</v>
      </c>
      <c r="AH100" s="22" t="s">
        <v>1298</v>
      </c>
      <c r="AI100" s="22" t="s">
        <v>1299</v>
      </c>
      <c r="AJ100" s="22" t="s">
        <v>1300</v>
      </c>
      <c r="AK100" s="22" t="s">
        <v>1301</v>
      </c>
      <c r="AL100" s="176" t="s">
        <v>1321</v>
      </c>
      <c r="AM100" s="48"/>
      <c r="AN100" s="159"/>
      <c r="AO100" s="22" t="s">
        <v>1296</v>
      </c>
      <c r="AP100" s="161" t="s">
        <v>1247</v>
      </c>
      <c r="AQ100" s="48"/>
    </row>
    <row r="101" spans="1:43" s="16" customFormat="1" x14ac:dyDescent="0.25">
      <c r="A101" s="20" t="s">
        <v>152</v>
      </c>
      <c r="B101" s="141"/>
      <c r="C101" s="21" t="s">
        <v>268</v>
      </c>
      <c r="D101" s="21"/>
      <c r="E101" s="22" t="s">
        <v>269</v>
      </c>
      <c r="G101" s="20" t="s">
        <v>1517</v>
      </c>
      <c r="H101" s="31" t="s">
        <v>223</v>
      </c>
      <c r="I101" s="30" t="s">
        <v>2622</v>
      </c>
      <c r="J101" s="30" t="s">
        <v>2623</v>
      </c>
      <c r="K101" s="31" t="s">
        <v>1210</v>
      </c>
      <c r="L101" s="300" t="s">
        <v>329</v>
      </c>
      <c r="M101" s="691">
        <v>2.99</v>
      </c>
      <c r="N101" s="19">
        <v>12</v>
      </c>
      <c r="O101" s="228">
        <v>288</v>
      </c>
      <c r="P101" s="620">
        <v>6.6000000000000003E-2</v>
      </c>
      <c r="Q101" s="621">
        <v>3.75</v>
      </c>
      <c r="R101" s="621"/>
      <c r="S101" s="623"/>
      <c r="T101" s="46">
        <v>6.6000000000000003E-2</v>
      </c>
      <c r="U101" s="35">
        <v>4.375</v>
      </c>
      <c r="V101" s="35">
        <v>0.75</v>
      </c>
      <c r="W101" s="72">
        <v>2.5625</v>
      </c>
      <c r="X101" s="46">
        <v>1</v>
      </c>
      <c r="Y101" s="35">
        <v>8.875</v>
      </c>
      <c r="Z101" s="35">
        <v>4.5</v>
      </c>
      <c r="AA101" s="72">
        <v>2.5625</v>
      </c>
      <c r="AB101" s="46">
        <v>25.414999999999999</v>
      </c>
      <c r="AC101" s="35">
        <v>18.5</v>
      </c>
      <c r="AD101" s="35">
        <v>14</v>
      </c>
      <c r="AE101" s="72">
        <v>11</v>
      </c>
      <c r="AF101" s="44">
        <f t="shared" si="6"/>
        <v>1.6487268518518519</v>
      </c>
      <c r="AG101" s="22" t="s">
        <v>1308</v>
      </c>
      <c r="AH101" s="22" t="s">
        <v>1309</v>
      </c>
      <c r="AI101" s="22" t="s">
        <v>1298</v>
      </c>
      <c r="AJ101" s="22" t="s">
        <v>1310</v>
      </c>
      <c r="AK101" s="22" t="s">
        <v>1311</v>
      </c>
      <c r="AL101" s="176" t="s">
        <v>1320</v>
      </c>
      <c r="AM101" s="48"/>
      <c r="AN101" s="159"/>
      <c r="AO101" s="22" t="s">
        <v>1312</v>
      </c>
      <c r="AP101" s="161" t="s">
        <v>1247</v>
      </c>
      <c r="AQ101" s="48"/>
    </row>
    <row r="102" spans="1:43" s="16" customFormat="1" x14ac:dyDescent="0.25">
      <c r="A102" s="20" t="s">
        <v>152</v>
      </c>
      <c r="B102" s="141"/>
      <c r="C102" s="82" t="s">
        <v>356</v>
      </c>
      <c r="D102" s="21"/>
      <c r="E102" s="39" t="s">
        <v>665</v>
      </c>
      <c r="G102" s="20" t="s">
        <v>1517</v>
      </c>
      <c r="H102" s="70" t="s">
        <v>357</v>
      </c>
      <c r="I102" s="295"/>
      <c r="J102" s="295"/>
      <c r="K102" s="31" t="s">
        <v>1210</v>
      </c>
      <c r="L102" s="300" t="s">
        <v>329</v>
      </c>
      <c r="M102" s="691">
        <v>1.59</v>
      </c>
      <c r="N102" s="19">
        <v>12</v>
      </c>
      <c r="O102" s="228">
        <v>288</v>
      </c>
      <c r="P102" s="620">
        <v>6.3E-2</v>
      </c>
      <c r="Q102" s="621">
        <v>2.125</v>
      </c>
      <c r="R102" s="621"/>
      <c r="S102" s="623"/>
      <c r="T102" s="46">
        <v>6.3E-2</v>
      </c>
      <c r="U102" s="35">
        <v>4.625</v>
      </c>
      <c r="V102" s="35">
        <v>2.625</v>
      </c>
      <c r="W102" s="72">
        <v>1.125</v>
      </c>
      <c r="X102" s="46">
        <v>1.45</v>
      </c>
      <c r="Y102" s="35">
        <v>9.25</v>
      </c>
      <c r="Z102" s="35">
        <v>6.875</v>
      </c>
      <c r="AA102" s="72">
        <v>2.625</v>
      </c>
      <c r="AB102" s="46">
        <v>42.09</v>
      </c>
      <c r="AC102" s="35">
        <v>18.89</v>
      </c>
      <c r="AD102" s="35">
        <v>14.37</v>
      </c>
      <c r="AE102" s="72">
        <v>15.94</v>
      </c>
      <c r="AF102" s="44">
        <f t="shared" si="6"/>
        <v>2.5039941215277781</v>
      </c>
      <c r="AG102" s="22" t="s">
        <v>1314</v>
      </c>
      <c r="AH102" s="22" t="s">
        <v>1298</v>
      </c>
      <c r="AI102" s="22" t="s">
        <v>1310</v>
      </c>
      <c r="AJ102" s="22" t="s">
        <v>1304</v>
      </c>
      <c r="AK102" s="176" t="s">
        <v>1323</v>
      </c>
      <c r="AL102" s="161"/>
      <c r="AM102" s="48"/>
      <c r="AN102" s="159"/>
      <c r="AO102" s="22" t="s">
        <v>1313</v>
      </c>
      <c r="AP102" s="161" t="s">
        <v>1247</v>
      </c>
      <c r="AQ102" s="48"/>
    </row>
    <row r="104" spans="1:43" s="16" customFormat="1" x14ac:dyDescent="0.25">
      <c r="A104" s="20" t="s">
        <v>152</v>
      </c>
      <c r="B104" s="141"/>
      <c r="C104" s="82" t="s">
        <v>416</v>
      </c>
      <c r="D104" s="21"/>
      <c r="E104" s="39" t="s">
        <v>1208</v>
      </c>
      <c r="G104" s="20" t="s">
        <v>1517</v>
      </c>
      <c r="H104" s="70" t="s">
        <v>679</v>
      </c>
      <c r="I104" s="295"/>
      <c r="J104" s="295"/>
      <c r="K104" s="31" t="s">
        <v>1210</v>
      </c>
      <c r="L104" s="300" t="s">
        <v>678</v>
      </c>
      <c r="M104" s="691">
        <v>1.99</v>
      </c>
      <c r="N104" s="19">
        <v>1</v>
      </c>
      <c r="O104" s="228">
        <v>24</v>
      </c>
      <c r="P104" s="620">
        <v>0.15</v>
      </c>
      <c r="Q104" s="621">
        <v>1.75</v>
      </c>
      <c r="R104" s="621"/>
      <c r="S104" s="623"/>
      <c r="T104" s="46">
        <v>0.15</v>
      </c>
      <c r="U104" s="35">
        <v>2.125</v>
      </c>
      <c r="V104" s="35">
        <v>2.875</v>
      </c>
      <c r="W104" s="72">
        <v>2.5</v>
      </c>
      <c r="X104" s="46" t="s">
        <v>66</v>
      </c>
      <c r="Y104" s="35" t="s">
        <v>66</v>
      </c>
      <c r="Z104" s="35" t="s">
        <v>66</v>
      </c>
      <c r="AA104" s="72" t="s">
        <v>66</v>
      </c>
      <c r="AB104" s="46">
        <v>3.7</v>
      </c>
      <c r="AC104" s="35">
        <v>7</v>
      </c>
      <c r="AD104" s="35">
        <v>5.375</v>
      </c>
      <c r="AE104" s="72">
        <v>12.25</v>
      </c>
      <c r="AF104" s="44">
        <f t="shared" ref="AF104:AF112" si="7">AC104*AD104*AE104/(12^3)</f>
        <v>0.26672815393518517</v>
      </c>
      <c r="AG104" s="161" t="s">
        <v>1305</v>
      </c>
      <c r="AH104" s="161" t="s">
        <v>1302</v>
      </c>
      <c r="AI104" s="161" t="s">
        <v>1298</v>
      </c>
      <c r="AJ104" s="161" t="s">
        <v>1303</v>
      </c>
      <c r="AK104" s="161" t="s">
        <v>1306</v>
      </c>
      <c r="AL104" s="176" t="s">
        <v>1322</v>
      </c>
      <c r="AM104" s="48"/>
      <c r="AN104" s="159"/>
      <c r="AO104" s="22" t="s">
        <v>1307</v>
      </c>
      <c r="AP104" s="161" t="s">
        <v>1247</v>
      </c>
      <c r="AQ104" s="48"/>
    </row>
    <row r="105" spans="1:43" x14ac:dyDescent="0.25">
      <c r="A105" s="20" t="s">
        <v>152</v>
      </c>
      <c r="B105" s="366"/>
      <c r="C105" s="26" t="s">
        <v>1465</v>
      </c>
      <c r="E105" s="21" t="s">
        <v>1464</v>
      </c>
      <c r="F105" s="39" t="s">
        <v>110</v>
      </c>
      <c r="G105" s="39" t="s">
        <v>1530</v>
      </c>
      <c r="H105" s="30" t="s">
        <v>1544</v>
      </c>
      <c r="I105" s="30" t="s">
        <v>1545</v>
      </c>
      <c r="J105" s="30" t="s">
        <v>1546</v>
      </c>
      <c r="K105" s="296" t="s">
        <v>1563</v>
      </c>
      <c r="L105" s="58" t="s">
        <v>1562</v>
      </c>
      <c r="M105" s="691">
        <v>19.989999999999998</v>
      </c>
      <c r="N105" s="39">
        <v>6</v>
      </c>
      <c r="O105" s="279">
        <v>36</v>
      </c>
      <c r="P105" s="620">
        <f>CONVERT(250,"g","lbm")</f>
        <v>0.55115565546219392</v>
      </c>
      <c r="Q105" s="621">
        <v>6.75</v>
      </c>
      <c r="R105" s="621">
        <v>1.75</v>
      </c>
      <c r="S105" s="627">
        <v>6.25</v>
      </c>
      <c r="T105" s="46">
        <f>CONVERT(260,"g","lbm")</f>
        <v>0.57320188168068165</v>
      </c>
      <c r="U105" s="39">
        <v>6.75</v>
      </c>
      <c r="V105" s="39">
        <v>1.75</v>
      </c>
      <c r="W105" s="279">
        <v>6.75</v>
      </c>
      <c r="X105" s="46">
        <f>CONVERT(1655,"g","lbm")</f>
        <v>3.6486504391597236</v>
      </c>
      <c r="Y105" s="177">
        <v>9.75</v>
      </c>
      <c r="Z105" s="177">
        <v>6.5</v>
      </c>
      <c r="AA105" s="227">
        <v>6.125</v>
      </c>
      <c r="AB105" s="46">
        <f>CONVERT(7.36,"kg","lbm")</f>
        <v>16.226022496806991</v>
      </c>
      <c r="AC105" s="35">
        <f>CONVERT(50,"cm","in")</f>
        <v>19.685039370078741</v>
      </c>
      <c r="AD105" s="35">
        <f>CONVERT(26,"cm","in")</f>
        <v>10.236220472440944</v>
      </c>
      <c r="AE105" s="72">
        <f>CONVERT(33.5,"cm","in")</f>
        <v>13.188976377952756</v>
      </c>
      <c r="AF105" s="44">
        <f t="shared" si="7"/>
        <v>1.5379537357208279</v>
      </c>
      <c r="AG105" s="161" t="s">
        <v>1604</v>
      </c>
      <c r="AH105" s="161" t="s">
        <v>2309</v>
      </c>
      <c r="AI105" s="161" t="s">
        <v>1601</v>
      </c>
      <c r="AJ105" s="161" t="s">
        <v>1602</v>
      </c>
      <c r="AK105" s="309" t="s">
        <v>1603</v>
      </c>
      <c r="AL105" s="367" t="s">
        <v>2236</v>
      </c>
      <c r="AO105" s="39" t="s">
        <v>2235</v>
      </c>
      <c r="AP105" s="161" t="s">
        <v>1247</v>
      </c>
    </row>
    <row r="106" spans="1:43" ht="13.8" x14ac:dyDescent="0.3">
      <c r="A106" s="20" t="s">
        <v>152</v>
      </c>
      <c r="B106" s="366"/>
      <c r="C106" s="26" t="s">
        <v>1460</v>
      </c>
      <c r="E106" s="21" t="s">
        <v>1462</v>
      </c>
      <c r="F106" s="39"/>
      <c r="G106" s="39" t="s">
        <v>2539</v>
      </c>
      <c r="H106" s="30" t="s">
        <v>1541</v>
      </c>
      <c r="I106" s="30" t="s">
        <v>1542</v>
      </c>
      <c r="J106" s="30" t="s">
        <v>1543</v>
      </c>
      <c r="K106" s="296" t="s">
        <v>1564</v>
      </c>
      <c r="L106" s="58" t="s">
        <v>325</v>
      </c>
      <c r="M106" s="691">
        <v>19.989999999999998</v>
      </c>
      <c r="N106" s="39">
        <v>12</v>
      </c>
      <c r="O106" s="279">
        <v>48</v>
      </c>
      <c r="P106" s="620">
        <v>0.20899999999999999</v>
      </c>
      <c r="Q106" s="621">
        <v>1.875</v>
      </c>
      <c r="R106" s="621">
        <v>1.75</v>
      </c>
      <c r="S106" s="627">
        <v>4.125</v>
      </c>
      <c r="T106" s="397">
        <v>0.24299999999999999</v>
      </c>
      <c r="U106" s="39">
        <v>4.125</v>
      </c>
      <c r="V106" s="177">
        <v>1.25</v>
      </c>
      <c r="W106" s="279">
        <v>7.25</v>
      </c>
      <c r="X106" s="397">
        <v>3.13</v>
      </c>
      <c r="Y106" s="177">
        <v>7.5</v>
      </c>
      <c r="Z106" s="177">
        <v>6</v>
      </c>
      <c r="AA106" s="227">
        <v>8.25</v>
      </c>
      <c r="AB106" s="46">
        <f>CONVERT(6.2,"kg","lbm")</f>
        <v>13.668660255462409</v>
      </c>
      <c r="AC106" s="35">
        <f>CONVERT(41,"cm","in")</f>
        <v>16.141732283464567</v>
      </c>
      <c r="AD106" s="35">
        <f>CONVERT(32,"cm","in")</f>
        <v>12.598425196850394</v>
      </c>
      <c r="AE106" s="72">
        <f>CONVERT(23,"cm","in")</f>
        <v>9.0551181102362204</v>
      </c>
      <c r="AF106" s="44">
        <f t="shared" si="7"/>
        <v>1.0656553829876396</v>
      </c>
      <c r="AG106" s="22" t="s">
        <v>2239</v>
      </c>
      <c r="AH106" s="161" t="s">
        <v>2240</v>
      </c>
      <c r="AI106" s="161" t="s">
        <v>2241</v>
      </c>
      <c r="AJ106" s="163" t="s">
        <v>2233</v>
      </c>
      <c r="AK106" s="163" t="s">
        <v>2242</v>
      </c>
      <c r="AL106" s="367" t="s">
        <v>2243</v>
      </c>
      <c r="AM106" s="42" t="s">
        <v>2232</v>
      </c>
      <c r="AO106" s="39" t="s">
        <v>2238</v>
      </c>
      <c r="AP106" s="161" t="s">
        <v>1247</v>
      </c>
    </row>
    <row r="107" spans="1:43" s="16" customFormat="1" x14ac:dyDescent="0.25">
      <c r="A107" s="20" t="s">
        <v>152</v>
      </c>
      <c r="B107" s="141"/>
      <c r="C107" s="82" t="s">
        <v>636</v>
      </c>
      <c r="D107" s="21"/>
      <c r="E107" s="39" t="s">
        <v>663</v>
      </c>
      <c r="G107" s="20" t="s">
        <v>1487</v>
      </c>
      <c r="H107" s="115" t="s">
        <v>894</v>
      </c>
      <c r="I107" s="363" t="s">
        <v>66</v>
      </c>
      <c r="J107" s="363" t="s">
        <v>66</v>
      </c>
      <c r="K107" s="31" t="s">
        <v>1210</v>
      </c>
      <c r="L107" s="300" t="s">
        <v>329</v>
      </c>
      <c r="M107" s="691">
        <v>318.48</v>
      </c>
      <c r="N107" s="19">
        <v>1</v>
      </c>
      <c r="O107" s="228">
        <v>1</v>
      </c>
      <c r="P107" s="620" t="s">
        <v>66</v>
      </c>
      <c r="Q107" s="621" t="s">
        <v>66</v>
      </c>
      <c r="R107" s="621" t="s">
        <v>66</v>
      </c>
      <c r="S107" s="623" t="s">
        <v>66</v>
      </c>
      <c r="T107" s="134"/>
      <c r="U107" s="35">
        <v>13</v>
      </c>
      <c r="V107" s="35">
        <v>6.25</v>
      </c>
      <c r="W107" s="72">
        <v>16.5</v>
      </c>
      <c r="X107" s="46" t="s">
        <v>66</v>
      </c>
      <c r="Y107" s="35" t="s">
        <v>66</v>
      </c>
      <c r="Z107" s="35" t="s">
        <v>66</v>
      </c>
      <c r="AA107" s="72" t="s">
        <v>66</v>
      </c>
      <c r="AB107" s="46">
        <v>10.35</v>
      </c>
      <c r="AC107" s="35">
        <v>14.25</v>
      </c>
      <c r="AD107" s="35">
        <v>14.25</v>
      </c>
      <c r="AE107" s="72">
        <v>8.5</v>
      </c>
      <c r="AF107" s="44">
        <f t="shared" si="7"/>
        <v>0.99886067708333337</v>
      </c>
      <c r="AG107" s="169" t="s">
        <v>1275</v>
      </c>
      <c r="AH107" s="169" t="s">
        <v>1277</v>
      </c>
      <c r="AI107" s="169"/>
      <c r="AJ107" s="169"/>
      <c r="AK107" s="169"/>
      <c r="AL107" s="169"/>
      <c r="AM107" s="98"/>
      <c r="AN107" s="160"/>
      <c r="AO107" s="98"/>
      <c r="AP107" s="98"/>
      <c r="AQ107" s="98"/>
    </row>
    <row r="108" spans="1:43" s="16" customFormat="1" x14ac:dyDescent="0.25">
      <c r="A108" s="20" t="s">
        <v>152</v>
      </c>
      <c r="B108" s="141"/>
      <c r="C108" s="82" t="s">
        <v>637</v>
      </c>
      <c r="D108" s="21"/>
      <c r="E108" s="39" t="s">
        <v>664</v>
      </c>
      <c r="G108" s="20" t="s">
        <v>1487</v>
      </c>
      <c r="H108" s="116" t="s">
        <v>895</v>
      </c>
      <c r="I108" s="364" t="s">
        <v>66</v>
      </c>
      <c r="J108" s="364" t="s">
        <v>66</v>
      </c>
      <c r="K108" s="31" t="s">
        <v>1210</v>
      </c>
      <c r="L108" s="300" t="s">
        <v>329</v>
      </c>
      <c r="M108" s="691">
        <v>636.96</v>
      </c>
      <c r="N108" s="19">
        <v>1</v>
      </c>
      <c r="O108" s="228">
        <v>1</v>
      </c>
      <c r="P108" s="620" t="s">
        <v>66</v>
      </c>
      <c r="Q108" s="621" t="s">
        <v>66</v>
      </c>
      <c r="R108" s="621" t="s">
        <v>66</v>
      </c>
      <c r="S108" s="623" t="s">
        <v>66</v>
      </c>
      <c r="T108" s="134"/>
      <c r="U108" s="35">
        <v>11.5</v>
      </c>
      <c r="V108" s="35">
        <v>16</v>
      </c>
      <c r="W108" s="72">
        <v>64</v>
      </c>
      <c r="X108" s="46" t="s">
        <v>66</v>
      </c>
      <c r="Y108" s="35" t="s">
        <v>66</v>
      </c>
      <c r="Z108" s="35" t="s">
        <v>66</v>
      </c>
      <c r="AA108" s="72" t="s">
        <v>66</v>
      </c>
      <c r="AB108" s="46">
        <v>22.5</v>
      </c>
      <c r="AC108" s="35">
        <v>38.75</v>
      </c>
      <c r="AD108" s="35">
        <v>12</v>
      </c>
      <c r="AE108" s="72">
        <v>9</v>
      </c>
      <c r="AF108" s="44">
        <f t="shared" si="7"/>
        <v>2.421875</v>
      </c>
      <c r="AG108" s="169" t="s">
        <v>1276</v>
      </c>
      <c r="AH108" s="169" t="s">
        <v>1278</v>
      </c>
      <c r="AI108" s="169"/>
      <c r="AJ108" s="169"/>
      <c r="AK108" s="169"/>
      <c r="AL108" s="169"/>
      <c r="AM108" s="98"/>
      <c r="AN108" s="160"/>
      <c r="AO108" s="98"/>
      <c r="AP108" s="98"/>
      <c r="AQ108" s="98"/>
    </row>
    <row r="109" spans="1:43" x14ac:dyDescent="0.25">
      <c r="A109" s="20" t="s">
        <v>152</v>
      </c>
      <c r="B109" s="671"/>
      <c r="C109" s="39" t="s">
        <v>2889</v>
      </c>
      <c r="E109" s="39" t="s">
        <v>2857</v>
      </c>
      <c r="G109" s="22" t="s">
        <v>1517</v>
      </c>
      <c r="H109" s="610">
        <v>54269002169</v>
      </c>
      <c r="I109" s="178"/>
      <c r="J109" s="178"/>
      <c r="K109" s="31" t="s">
        <v>1210</v>
      </c>
      <c r="L109" s="47" t="s">
        <v>329</v>
      </c>
      <c r="M109" s="679">
        <v>5.99</v>
      </c>
      <c r="N109" s="39">
        <v>12</v>
      </c>
      <c r="O109" s="676">
        <v>144</v>
      </c>
      <c r="P109" s="621">
        <v>0.28000000000000003</v>
      </c>
      <c r="Q109" s="621">
        <v>0.3</v>
      </c>
      <c r="R109" s="621" t="s">
        <v>66</v>
      </c>
      <c r="S109" s="775" t="s">
        <v>66</v>
      </c>
      <c r="T109" s="42">
        <v>0.31</v>
      </c>
      <c r="U109" s="22">
        <v>6</v>
      </c>
      <c r="V109" s="22">
        <v>5.5</v>
      </c>
      <c r="W109" s="28">
        <v>1.25</v>
      </c>
      <c r="X109" s="397">
        <f>T109*N109</f>
        <v>3.7199999999999998</v>
      </c>
      <c r="Y109" s="39">
        <v>5.125</v>
      </c>
      <c r="Z109" s="39">
        <v>8.125</v>
      </c>
      <c r="AA109" s="279">
        <v>5</v>
      </c>
      <c r="AB109" s="28">
        <v>43.65</v>
      </c>
      <c r="AC109" s="39">
        <v>16.5</v>
      </c>
      <c r="AD109" s="39">
        <v>14.96</v>
      </c>
      <c r="AE109" s="279">
        <v>10.23</v>
      </c>
      <c r="AF109" s="42">
        <f t="shared" si="7"/>
        <v>1.4613270833333334</v>
      </c>
      <c r="AG109" s="784" t="s">
        <v>2858</v>
      </c>
      <c r="AH109" s="668" t="s">
        <v>2859</v>
      </c>
      <c r="AI109" s="668" t="s">
        <v>2860</v>
      </c>
      <c r="AJ109" s="668" t="s">
        <v>2861</v>
      </c>
      <c r="AK109" s="668" t="s">
        <v>2862</v>
      </c>
      <c r="AO109" s="69" t="s">
        <v>2892</v>
      </c>
      <c r="AP109" s="161" t="s">
        <v>1247</v>
      </c>
    </row>
    <row r="110" spans="1:43" x14ac:dyDescent="0.25">
      <c r="A110" s="20" t="s">
        <v>152</v>
      </c>
      <c r="B110" s="671"/>
      <c r="C110" s="39" t="s">
        <v>3221</v>
      </c>
      <c r="E110" s="39" t="s">
        <v>3222</v>
      </c>
      <c r="G110" s="22" t="s">
        <v>1517</v>
      </c>
      <c r="H110" s="610">
        <v>54269002428</v>
      </c>
      <c r="I110" s="178"/>
      <c r="J110" s="178"/>
      <c r="K110" s="31"/>
      <c r="L110" s="47" t="s">
        <v>329</v>
      </c>
      <c r="M110" s="679"/>
      <c r="N110" s="39"/>
      <c r="O110" s="42">
        <v>288</v>
      </c>
      <c r="P110" s="621"/>
      <c r="Q110" s="621"/>
      <c r="R110" s="621"/>
      <c r="S110" s="637"/>
      <c r="T110" s="42"/>
      <c r="X110" s="397"/>
      <c r="Y110" s="39"/>
      <c r="Z110" s="39"/>
      <c r="AA110" s="279"/>
      <c r="AC110" s="39"/>
      <c r="AD110" s="39"/>
      <c r="AE110" s="279"/>
      <c r="AF110" s="42"/>
      <c r="AG110" s="797"/>
      <c r="AH110" s="797"/>
      <c r="AI110" s="797"/>
      <c r="AJ110" s="797"/>
      <c r="AK110" s="797"/>
      <c r="AO110" s="69"/>
      <c r="AP110" s="161"/>
    </row>
    <row r="111" spans="1:43" x14ac:dyDescent="0.25">
      <c r="A111" s="20" t="s">
        <v>152</v>
      </c>
      <c r="B111" s="671"/>
      <c r="C111" s="39" t="s">
        <v>2673</v>
      </c>
      <c r="E111" s="39" t="s">
        <v>2674</v>
      </c>
      <c r="F111" s="39" t="s">
        <v>534</v>
      </c>
      <c r="G111" s="39" t="s">
        <v>2539</v>
      </c>
      <c r="H111" s="610">
        <v>54269001988</v>
      </c>
      <c r="I111" s="669">
        <v>10054269001985</v>
      </c>
      <c r="J111" s="669">
        <v>20054269001982</v>
      </c>
      <c r="K111" s="38" t="s">
        <v>1564</v>
      </c>
      <c r="L111" s="58" t="s">
        <v>325</v>
      </c>
      <c r="M111" s="679">
        <v>24.99</v>
      </c>
      <c r="N111" s="39">
        <v>6</v>
      </c>
      <c r="O111" s="279">
        <v>24</v>
      </c>
      <c r="P111" s="670">
        <v>0.15</v>
      </c>
      <c r="Q111" s="621">
        <v>1.1875</v>
      </c>
      <c r="R111" s="621">
        <v>1.1879999999999999</v>
      </c>
      <c r="S111" s="627">
        <v>5.375</v>
      </c>
      <c r="T111" s="283">
        <v>0.23</v>
      </c>
      <c r="U111" s="39">
        <v>7.21</v>
      </c>
      <c r="V111" s="39">
        <v>5.22</v>
      </c>
      <c r="W111" s="279">
        <v>7.75</v>
      </c>
      <c r="X111" s="397">
        <f>T111*N111</f>
        <v>1.3800000000000001</v>
      </c>
      <c r="Y111" s="39">
        <v>6.75</v>
      </c>
      <c r="Z111" s="39">
        <v>4.375</v>
      </c>
      <c r="AA111" s="279">
        <v>7.5</v>
      </c>
      <c r="AB111" s="397">
        <f>T111*O111</f>
        <v>5.5200000000000005</v>
      </c>
      <c r="AC111" s="39">
        <v>14</v>
      </c>
      <c r="AD111" s="39">
        <v>9.25</v>
      </c>
      <c r="AE111" s="279">
        <v>8.1750000000000007</v>
      </c>
      <c r="AF111" s="42">
        <f t="shared" si="7"/>
        <v>0.61265190972222228</v>
      </c>
      <c r="AG111" s="39" t="s">
        <v>2781</v>
      </c>
      <c r="AH111" t="s">
        <v>2782</v>
      </c>
      <c r="AI111" t="s">
        <v>2783</v>
      </c>
      <c r="AJ111" t="s">
        <v>2784</v>
      </c>
      <c r="AK111" t="s">
        <v>2785</v>
      </c>
      <c r="AL111" s="39"/>
      <c r="AM111" s="39"/>
      <c r="AN111" s="39"/>
      <c r="AO111" s="22" t="s">
        <v>2903</v>
      </c>
      <c r="AP111" s="161" t="s">
        <v>1247</v>
      </c>
      <c r="AQ111" s="39"/>
    </row>
    <row r="112" spans="1:43" x14ac:dyDescent="0.25">
      <c r="A112" s="20" t="s">
        <v>152</v>
      </c>
      <c r="B112" s="671"/>
      <c r="C112" s="39" t="s">
        <v>2673</v>
      </c>
      <c r="E112" s="39" t="s">
        <v>2674</v>
      </c>
      <c r="F112" s="39" t="s">
        <v>2741</v>
      </c>
      <c r="G112" s="39" t="s">
        <v>2539</v>
      </c>
      <c r="H112" s="610">
        <v>54269001858</v>
      </c>
      <c r="I112" s="669">
        <v>10054269001855</v>
      </c>
      <c r="J112" s="669">
        <v>20054269001852</v>
      </c>
      <c r="K112" s="38" t="s">
        <v>1564</v>
      </c>
      <c r="L112" s="58" t="s">
        <v>325</v>
      </c>
      <c r="M112" s="679">
        <v>24.99</v>
      </c>
      <c r="N112" s="39">
        <v>6</v>
      </c>
      <c r="O112" s="279">
        <v>24</v>
      </c>
      <c r="P112" s="670">
        <v>0.15</v>
      </c>
      <c r="Q112" s="621">
        <v>1.1875</v>
      </c>
      <c r="R112" s="621">
        <v>1.1879999999999999</v>
      </c>
      <c r="S112" s="627">
        <v>5.375</v>
      </c>
      <c r="T112" s="283">
        <v>0.23</v>
      </c>
      <c r="U112" s="39">
        <v>7.21</v>
      </c>
      <c r="V112" s="39">
        <v>5.22</v>
      </c>
      <c r="W112" s="279">
        <v>7.75</v>
      </c>
      <c r="X112" s="397">
        <f>T112*N112</f>
        <v>1.3800000000000001</v>
      </c>
      <c r="Y112" s="39">
        <v>6.75</v>
      </c>
      <c r="Z112" s="39">
        <v>4.375</v>
      </c>
      <c r="AA112" s="279">
        <v>7.5</v>
      </c>
      <c r="AB112" s="397">
        <f>T112*O112</f>
        <v>5.5200000000000005</v>
      </c>
      <c r="AC112" s="39">
        <v>14</v>
      </c>
      <c r="AD112" s="39">
        <v>9.25</v>
      </c>
      <c r="AE112" s="279">
        <v>8.1750000000000007</v>
      </c>
      <c r="AF112" s="42">
        <f t="shared" si="7"/>
        <v>0.61265190972222228</v>
      </c>
      <c r="AG112" s="39" t="s">
        <v>2781</v>
      </c>
      <c r="AH112" t="s">
        <v>2782</v>
      </c>
      <c r="AI112" t="s">
        <v>2783</v>
      </c>
      <c r="AJ112" t="s">
        <v>2784</v>
      </c>
      <c r="AK112" t="s">
        <v>2785</v>
      </c>
      <c r="AL112" s="39"/>
      <c r="AM112" s="39"/>
      <c r="AN112" s="39"/>
      <c r="AO112" s="22" t="s">
        <v>2903</v>
      </c>
      <c r="AP112" s="161" t="s">
        <v>1247</v>
      </c>
      <c r="AQ112" s="39"/>
    </row>
    <row r="113" spans="1:264" x14ac:dyDescent="0.25">
      <c r="A113" s="20" t="s">
        <v>152</v>
      </c>
      <c r="B113" s="671"/>
      <c r="C113" s="39" t="s">
        <v>2742</v>
      </c>
      <c r="E113" s="283" t="s">
        <v>2743</v>
      </c>
      <c r="F113" s="39" t="s">
        <v>534</v>
      </c>
      <c r="G113" s="39" t="s">
        <v>2539</v>
      </c>
      <c r="H113" s="610">
        <v>54269002008</v>
      </c>
      <c r="I113" s="669">
        <v>10054269002005</v>
      </c>
      <c r="J113" s="669">
        <v>20054269002002</v>
      </c>
      <c r="K113" s="31" t="s">
        <v>1212</v>
      </c>
      <c r="L113" s="58" t="s">
        <v>325</v>
      </c>
      <c r="M113" s="679">
        <v>19.989999999999998</v>
      </c>
      <c r="N113" s="39">
        <v>6</v>
      </c>
      <c r="O113" s="279">
        <v>24</v>
      </c>
      <c r="P113" s="46">
        <v>0.09</v>
      </c>
      <c r="Q113" s="283">
        <v>1.1879999999999999</v>
      </c>
      <c r="R113" s="283">
        <v>1.1879999999999999</v>
      </c>
      <c r="S113" s="627">
        <v>5.375</v>
      </c>
      <c r="T113" s="283">
        <v>0.17</v>
      </c>
      <c r="U113" s="283">
        <v>7.21</v>
      </c>
      <c r="V113" s="283">
        <v>3.47</v>
      </c>
      <c r="W113" s="283">
        <v>1.18</v>
      </c>
      <c r="X113" s="397">
        <f>T113*N113</f>
        <v>1.02</v>
      </c>
      <c r="Y113" s="178"/>
      <c r="Z113" s="178"/>
      <c r="AA113" s="231"/>
      <c r="AB113" s="397">
        <f>T113*O113</f>
        <v>4.08</v>
      </c>
      <c r="AC113" s="178"/>
      <c r="AD113" s="178"/>
      <c r="AE113" s="231"/>
      <c r="AF113" s="403"/>
      <c r="AG113" s="39" t="s">
        <v>2781</v>
      </c>
      <c r="AH113" t="s">
        <v>2782</v>
      </c>
      <c r="AI113" t="s">
        <v>2786</v>
      </c>
      <c r="AJ113" t="s">
        <v>2784</v>
      </c>
      <c r="AK113" t="s">
        <v>2787</v>
      </c>
      <c r="AL113" s="39"/>
      <c r="AM113" s="39"/>
      <c r="AN113" s="39"/>
      <c r="AO113" s="22" t="s">
        <v>2904</v>
      </c>
      <c r="AP113" s="161" t="s">
        <v>1247</v>
      </c>
      <c r="AQ113" s="39"/>
    </row>
    <row r="114" spans="1:264" x14ac:dyDescent="0.25">
      <c r="A114" s="20" t="s">
        <v>152</v>
      </c>
      <c r="B114" s="671"/>
      <c r="C114" s="39" t="s">
        <v>2742</v>
      </c>
      <c r="E114" s="283" t="s">
        <v>2743</v>
      </c>
      <c r="F114" s="39" t="s">
        <v>2741</v>
      </c>
      <c r="G114" s="39" t="s">
        <v>2539</v>
      </c>
      <c r="H114" s="610">
        <v>54269001995</v>
      </c>
      <c r="I114" s="669">
        <v>10054269001992</v>
      </c>
      <c r="J114" s="669">
        <v>20054269001999</v>
      </c>
      <c r="K114" s="31" t="s">
        <v>1212</v>
      </c>
      <c r="L114" s="58" t="s">
        <v>325</v>
      </c>
      <c r="M114" s="679">
        <v>19.989999999999998</v>
      </c>
      <c r="N114" s="39">
        <v>6</v>
      </c>
      <c r="O114" s="279">
        <v>24</v>
      </c>
      <c r="P114" s="46">
        <v>0.09</v>
      </c>
      <c r="Q114" s="283">
        <v>1.1879999999999999</v>
      </c>
      <c r="R114" s="283">
        <v>1.1879999999999999</v>
      </c>
      <c r="S114" s="627">
        <v>5.375</v>
      </c>
      <c r="T114" s="283">
        <v>0.17</v>
      </c>
      <c r="U114" s="283">
        <v>7.21</v>
      </c>
      <c r="V114" s="283">
        <v>3.47</v>
      </c>
      <c r="W114" s="283">
        <v>1.18</v>
      </c>
      <c r="X114" s="397">
        <f>T114*N114</f>
        <v>1.02</v>
      </c>
      <c r="Y114" s="178"/>
      <c r="Z114" s="178"/>
      <c r="AA114" s="231"/>
      <c r="AB114" s="397">
        <f>T114*O114</f>
        <v>4.08</v>
      </c>
      <c r="AC114" s="178"/>
      <c r="AD114" s="178"/>
      <c r="AE114" s="231"/>
      <c r="AF114" s="403"/>
      <c r="AG114" s="39" t="s">
        <v>2781</v>
      </c>
      <c r="AH114" t="s">
        <v>2782</v>
      </c>
      <c r="AI114" t="s">
        <v>2786</v>
      </c>
      <c r="AJ114" t="s">
        <v>2784</v>
      </c>
      <c r="AK114" t="s">
        <v>2787</v>
      </c>
      <c r="AL114" s="39"/>
      <c r="AM114" s="39"/>
      <c r="AN114" s="39"/>
      <c r="AO114" s="22" t="s">
        <v>2904</v>
      </c>
      <c r="AP114" s="161" t="s">
        <v>1247</v>
      </c>
      <c r="AQ114" s="39"/>
    </row>
    <row r="115" spans="1:264" s="16" customFormat="1" x14ac:dyDescent="0.25">
      <c r="C115" s="22"/>
      <c r="D115" s="52"/>
      <c r="E115" s="22"/>
      <c r="F115" s="22"/>
      <c r="G115" s="39"/>
      <c r="H115" s="55"/>
      <c r="I115" s="55"/>
      <c r="J115" s="55"/>
      <c r="K115" s="57"/>
      <c r="L115" s="133"/>
      <c r="M115" s="698"/>
      <c r="N115" s="19"/>
      <c r="O115" s="77"/>
      <c r="P115" s="620"/>
      <c r="Q115" s="621"/>
      <c r="R115" s="621"/>
      <c r="S115" s="617"/>
      <c r="T115" s="512"/>
      <c r="U115" s="181"/>
      <c r="V115" s="181"/>
      <c r="W115" s="182"/>
      <c r="X115" s="44"/>
      <c r="Y115" s="17"/>
      <c r="Z115" s="17"/>
      <c r="AA115" s="45"/>
      <c r="AB115" s="44"/>
      <c r="AC115" s="17"/>
      <c r="AD115" s="17"/>
      <c r="AE115" s="45"/>
      <c r="AF115" s="44"/>
      <c r="AG115" s="163"/>
      <c r="AH115" s="161"/>
      <c r="AI115" s="161"/>
      <c r="AJ115" s="161"/>
      <c r="AK115" s="161"/>
      <c r="AL115" s="161"/>
      <c r="AM115" s="48"/>
      <c r="AN115" s="161"/>
      <c r="AO115" s="161"/>
      <c r="AP115" s="161"/>
      <c r="AQ115" s="161"/>
      <c r="AR115" s="22"/>
      <c r="AS115" s="22"/>
      <c r="AT115" s="52"/>
      <c r="AU115" s="22"/>
      <c r="AV115" s="22"/>
      <c r="AW115" s="22"/>
      <c r="AX115" s="52"/>
      <c r="AY115" s="22"/>
      <c r="AZ115" s="22"/>
      <c r="BA115" s="22"/>
      <c r="BB115" s="52"/>
      <c r="BC115" s="22"/>
      <c r="BD115" s="22"/>
      <c r="BE115" s="22"/>
      <c r="BF115" s="52"/>
      <c r="BG115" s="22"/>
      <c r="BH115" s="22"/>
      <c r="BI115" s="22"/>
      <c r="BJ115" s="52"/>
      <c r="BK115" s="22"/>
      <c r="BL115" s="22"/>
      <c r="BM115" s="22"/>
      <c r="BN115" s="52"/>
      <c r="BO115" s="22"/>
      <c r="BP115" s="22"/>
      <c r="BQ115" s="22"/>
      <c r="BR115" s="52"/>
      <c r="BS115" s="22"/>
      <c r="BT115" s="22"/>
      <c r="BU115" s="22"/>
      <c r="BV115" s="52"/>
      <c r="BW115" s="22"/>
      <c r="BX115" s="22"/>
      <c r="BY115" s="22"/>
      <c r="BZ115" s="52"/>
      <c r="CA115" s="22"/>
      <c r="CB115" s="22"/>
      <c r="CC115" s="22"/>
      <c r="CD115" s="52"/>
      <c r="CE115" s="22"/>
      <c r="CF115" s="22"/>
      <c r="CG115" s="22"/>
      <c r="CH115" s="52"/>
      <c r="CI115" s="22"/>
      <c r="CJ115" s="22"/>
      <c r="CK115" s="22"/>
      <c r="CL115" s="52"/>
      <c r="CM115" s="22"/>
      <c r="CN115" s="22"/>
      <c r="CO115" s="22"/>
      <c r="CP115" s="52"/>
      <c r="CQ115" s="22"/>
      <c r="CR115" s="22"/>
      <c r="CS115" s="22"/>
      <c r="CT115" s="52"/>
      <c r="CU115" s="22"/>
      <c r="CV115" s="22"/>
      <c r="CW115" s="22"/>
      <c r="CX115" s="52"/>
      <c r="CY115" s="22"/>
      <c r="CZ115" s="22"/>
      <c r="DA115" s="22"/>
      <c r="DB115" s="52"/>
      <c r="DC115" s="22"/>
      <c r="DD115" s="22"/>
      <c r="DE115" s="22"/>
      <c r="DF115" s="52"/>
      <c r="DG115" s="22"/>
      <c r="DH115" s="22"/>
      <c r="DI115" s="22"/>
      <c r="DJ115" s="52"/>
      <c r="DK115" s="22"/>
      <c r="DL115" s="22"/>
      <c r="DM115" s="22"/>
      <c r="DN115" s="52"/>
      <c r="DO115" s="22"/>
      <c r="DP115" s="22"/>
      <c r="DQ115" s="22"/>
      <c r="DR115" s="52"/>
      <c r="DS115" s="22"/>
      <c r="DT115" s="22"/>
      <c r="DU115" s="22"/>
      <c r="DV115" s="52"/>
      <c r="DW115" s="22"/>
      <c r="DX115" s="22"/>
      <c r="DY115" s="22"/>
      <c r="DZ115" s="52"/>
      <c r="EA115" s="22"/>
      <c r="EB115" s="22"/>
      <c r="EC115" s="22"/>
      <c r="ED115" s="52"/>
      <c r="EE115" s="22"/>
      <c r="EF115" s="22"/>
      <c r="EG115" s="22"/>
      <c r="EH115" s="52"/>
      <c r="EI115" s="22"/>
      <c r="EJ115" s="22"/>
      <c r="EK115" s="22"/>
      <c r="EL115" s="52"/>
      <c r="EM115" s="22"/>
      <c r="EN115" s="22"/>
      <c r="EO115" s="22"/>
      <c r="EP115" s="52"/>
      <c r="EQ115" s="22"/>
      <c r="ER115" s="22"/>
      <c r="ES115" s="22"/>
      <c r="ET115" s="52"/>
      <c r="EU115" s="22"/>
      <c r="EV115" s="22"/>
      <c r="EW115" s="22"/>
      <c r="EX115" s="52"/>
      <c r="EY115" s="22"/>
      <c r="EZ115" s="22"/>
      <c r="FA115" s="22"/>
      <c r="FB115" s="52"/>
      <c r="FC115" s="22"/>
      <c r="FD115" s="22"/>
      <c r="FE115" s="22"/>
      <c r="FF115" s="52"/>
      <c r="FG115" s="22"/>
      <c r="FH115" s="22"/>
      <c r="FI115" s="22"/>
      <c r="FJ115" s="52"/>
      <c r="FK115" s="22"/>
      <c r="FL115" s="22"/>
      <c r="FM115" s="22"/>
      <c r="FN115" s="52"/>
      <c r="FO115" s="22"/>
      <c r="FP115" s="22"/>
      <c r="FQ115" s="22"/>
      <c r="FR115" s="52"/>
      <c r="FS115" s="22"/>
      <c r="FT115" s="22"/>
      <c r="FU115" s="22"/>
      <c r="FV115" s="52"/>
      <c r="FW115" s="22"/>
      <c r="FX115" s="22"/>
      <c r="FY115" s="22"/>
      <c r="FZ115" s="52"/>
      <c r="GA115" s="22"/>
      <c r="GB115" s="22"/>
      <c r="GC115" s="22"/>
      <c r="GD115" s="52"/>
      <c r="GE115" s="22"/>
      <c r="GF115" s="22"/>
      <c r="GG115" s="22"/>
      <c r="GH115" s="52"/>
      <c r="GI115" s="22"/>
      <c r="GJ115" s="22"/>
      <c r="GK115" s="22"/>
      <c r="GL115" s="52"/>
      <c r="GM115" s="22"/>
      <c r="GN115" s="22"/>
      <c r="GO115" s="22"/>
      <c r="GP115" s="52"/>
      <c r="GQ115" s="22"/>
      <c r="GR115" s="22"/>
      <c r="GS115" s="22"/>
      <c r="GT115" s="52"/>
      <c r="GU115" s="22"/>
      <c r="GV115" s="22"/>
      <c r="GW115" s="22"/>
      <c r="GX115" s="52"/>
      <c r="GY115" s="22"/>
      <c r="GZ115" s="22"/>
      <c r="HA115" s="22"/>
      <c r="HB115" s="52"/>
      <c r="HC115" s="22"/>
      <c r="HD115" s="22"/>
      <c r="HE115" s="22"/>
      <c r="HF115" s="52"/>
      <c r="HG115" s="22"/>
      <c r="HH115" s="22"/>
      <c r="HI115" s="22"/>
      <c r="HJ115" s="52"/>
      <c r="HK115" s="22"/>
      <c r="HL115" s="22"/>
      <c r="HM115" s="22"/>
      <c r="HN115" s="52"/>
      <c r="HO115" s="22"/>
      <c r="HP115" s="22"/>
      <c r="HQ115" s="22"/>
      <c r="HR115" s="52"/>
      <c r="HS115" s="22"/>
      <c r="HT115" s="22"/>
      <c r="HU115" s="22"/>
      <c r="HV115" s="52"/>
      <c r="HW115" s="22"/>
      <c r="HX115" s="22"/>
      <c r="HY115" s="22"/>
      <c r="HZ115" s="52"/>
      <c r="IA115" s="22"/>
      <c r="IB115" s="22"/>
      <c r="IC115" s="22"/>
      <c r="ID115" s="52"/>
      <c r="IE115" s="22"/>
      <c r="IF115" s="22"/>
      <c r="IG115" s="22"/>
      <c r="IH115" s="52"/>
      <c r="II115" s="22"/>
      <c r="IJ115" s="22"/>
      <c r="IK115" s="22"/>
      <c r="IL115" s="52"/>
      <c r="IM115" s="22"/>
      <c r="IN115" s="22"/>
      <c r="IO115" s="22"/>
      <c r="IP115" s="52"/>
      <c r="IQ115" s="22"/>
      <c r="IR115" s="22"/>
      <c r="IS115" s="22"/>
      <c r="IT115" s="52"/>
      <c r="IU115" s="22"/>
      <c r="IV115" s="22"/>
      <c r="IW115" s="22"/>
      <c r="IX115" s="52"/>
      <c r="IY115" s="22"/>
      <c r="IZ115" s="22"/>
      <c r="JA115" s="22"/>
      <c r="JB115" s="52"/>
      <c r="JC115" s="22"/>
      <c r="JD115" s="22"/>
    </row>
    <row r="116" spans="1:264" s="16" customFormat="1" ht="15.6" x14ac:dyDescent="0.3">
      <c r="A116" s="799" t="s">
        <v>1225</v>
      </c>
      <c r="B116" s="799"/>
      <c r="C116" s="799"/>
      <c r="D116" s="17"/>
      <c r="E116" s="18"/>
      <c r="G116" s="20"/>
      <c r="H116" s="29"/>
      <c r="I116" s="29"/>
      <c r="J116" s="29"/>
      <c r="K116" s="29"/>
      <c r="L116" s="133"/>
      <c r="M116" s="691"/>
      <c r="N116" s="19"/>
      <c r="O116" s="77"/>
      <c r="P116" s="620"/>
      <c r="Q116" s="621"/>
      <c r="R116" s="621"/>
      <c r="S116" s="617"/>
      <c r="T116" s="44"/>
      <c r="U116" s="17"/>
      <c r="V116" s="17"/>
      <c r="W116" s="45"/>
      <c r="X116" s="44"/>
      <c r="Y116" s="17"/>
      <c r="Z116" s="17"/>
      <c r="AA116" s="45"/>
      <c r="AB116" s="44"/>
      <c r="AC116" s="17"/>
      <c r="AD116" s="17"/>
      <c r="AE116" s="45"/>
      <c r="AF116" s="44"/>
      <c r="AG116" s="48"/>
      <c r="AH116" s="48"/>
      <c r="AI116" s="48"/>
      <c r="AJ116" s="48"/>
      <c r="AK116" s="48"/>
      <c r="AL116" s="48"/>
      <c r="AM116" s="48"/>
      <c r="AN116" s="48"/>
      <c r="AO116" s="48"/>
      <c r="AP116" s="48"/>
      <c r="AQ116" s="48"/>
    </row>
    <row r="117" spans="1:264" x14ac:dyDescent="0.25">
      <c r="A117" s="20" t="s">
        <v>152</v>
      </c>
      <c r="B117" s="671"/>
      <c r="C117" s="39" t="s">
        <v>2865</v>
      </c>
      <c r="E117" s="39" t="s">
        <v>2870</v>
      </c>
      <c r="F117" s="22" t="s">
        <v>2737</v>
      </c>
      <c r="G117" s="22" t="s">
        <v>1517</v>
      </c>
      <c r="H117" s="610">
        <v>54269002220</v>
      </c>
      <c r="I117" s="49">
        <v>10054269002227</v>
      </c>
      <c r="J117" s="49">
        <v>20054269002224</v>
      </c>
      <c r="K117" s="38" t="s">
        <v>108</v>
      </c>
      <c r="L117" s="58" t="s">
        <v>325</v>
      </c>
      <c r="M117" s="679">
        <v>79.989999999999995</v>
      </c>
      <c r="N117" s="22">
        <v>2</v>
      </c>
      <c r="O117" s="130">
        <v>4</v>
      </c>
      <c r="P117" s="621">
        <v>4.2</v>
      </c>
      <c r="Q117" s="621">
        <v>7</v>
      </c>
      <c r="R117" s="621">
        <v>6</v>
      </c>
      <c r="S117" s="634">
        <v>12.5</v>
      </c>
      <c r="T117" s="42">
        <v>2.89</v>
      </c>
      <c r="U117" s="39">
        <v>8.25</v>
      </c>
      <c r="V117" s="39">
        <v>5.875</v>
      </c>
      <c r="W117" s="72">
        <v>12.75</v>
      </c>
      <c r="X117" s="397">
        <v>6.83</v>
      </c>
      <c r="Y117" s="22">
        <v>12.5</v>
      </c>
      <c r="Z117" s="22">
        <v>9</v>
      </c>
      <c r="AA117" s="279">
        <v>14.5</v>
      </c>
      <c r="AB117" s="46">
        <v>14.1</v>
      </c>
      <c r="AC117" s="39">
        <v>13</v>
      </c>
      <c r="AD117" s="39">
        <v>18.5</v>
      </c>
      <c r="AE117" s="279">
        <v>14.5</v>
      </c>
      <c r="AF117" s="44">
        <f t="shared" ref="AF117:AF123" si="8">AC117*AD117*AE117/(12^3)</f>
        <v>2.0180844907407409</v>
      </c>
      <c r="AG117" s="39" t="s">
        <v>3114</v>
      </c>
      <c r="AH117" s="39" t="s">
        <v>3115</v>
      </c>
      <c r="AI117" s="39" t="s">
        <v>2755</v>
      </c>
      <c r="AJ117" s="39" t="s">
        <v>3116</v>
      </c>
      <c r="AK117" s="39" t="s">
        <v>3118</v>
      </c>
      <c r="AL117" s="39"/>
      <c r="AM117" s="39"/>
      <c r="AN117" s="39"/>
      <c r="AO117" s="22" t="s">
        <v>2895</v>
      </c>
      <c r="AP117" s="161" t="s">
        <v>1247</v>
      </c>
    </row>
    <row r="118" spans="1:264" x14ac:dyDescent="0.25">
      <c r="A118" s="20" t="s">
        <v>152</v>
      </c>
      <c r="B118" s="671"/>
      <c r="C118" s="39" t="s">
        <v>2866</v>
      </c>
      <c r="E118" s="39" t="s">
        <v>2897</v>
      </c>
      <c r="F118" s="39" t="s">
        <v>111</v>
      </c>
      <c r="G118" s="39" t="s">
        <v>1517</v>
      </c>
      <c r="H118" s="610">
        <v>54269002237</v>
      </c>
      <c r="I118" s="49">
        <v>10054269002234</v>
      </c>
      <c r="J118" s="49">
        <v>20054269002231</v>
      </c>
      <c r="K118" s="38" t="s">
        <v>108</v>
      </c>
      <c r="L118" s="58" t="s">
        <v>325</v>
      </c>
      <c r="M118" s="679">
        <v>99.99</v>
      </c>
      <c r="N118" s="22">
        <v>2</v>
      </c>
      <c r="O118" s="130">
        <v>4</v>
      </c>
      <c r="P118" s="621">
        <v>2.2000000000000002</v>
      </c>
      <c r="Q118" s="621">
        <v>7</v>
      </c>
      <c r="R118" s="621">
        <v>6</v>
      </c>
      <c r="S118" s="634">
        <v>12.5</v>
      </c>
      <c r="T118" s="42">
        <v>2.92</v>
      </c>
      <c r="U118" s="39">
        <v>8.25</v>
      </c>
      <c r="V118" s="39">
        <v>5.875</v>
      </c>
      <c r="W118" s="72">
        <v>12.75</v>
      </c>
      <c r="X118" s="397">
        <v>7.88</v>
      </c>
      <c r="Y118" s="22">
        <v>12.5</v>
      </c>
      <c r="Z118" s="22">
        <v>9</v>
      </c>
      <c r="AA118" s="279">
        <v>14.5</v>
      </c>
      <c r="AB118" s="46">
        <v>15.77</v>
      </c>
      <c r="AC118" s="39">
        <v>13</v>
      </c>
      <c r="AD118" s="39">
        <v>18.5</v>
      </c>
      <c r="AE118" s="279">
        <v>14.5</v>
      </c>
      <c r="AF118" s="44">
        <f t="shared" si="8"/>
        <v>2.0180844907407409</v>
      </c>
      <c r="AG118" s="39" t="s">
        <v>3114</v>
      </c>
      <c r="AH118" s="39" t="s">
        <v>3115</v>
      </c>
      <c r="AI118" s="39" t="s">
        <v>2755</v>
      </c>
      <c r="AJ118" s="39" t="s">
        <v>3189</v>
      </c>
      <c r="AK118" s="39" t="s">
        <v>3190</v>
      </c>
      <c r="AL118" s="39" t="s">
        <v>3117</v>
      </c>
      <c r="AM118" s="39"/>
      <c r="AN118" s="39"/>
      <c r="AO118" s="22" t="s">
        <v>3191</v>
      </c>
      <c r="AP118" s="161" t="s">
        <v>1247</v>
      </c>
    </row>
    <row r="119" spans="1:264" x14ac:dyDescent="0.25">
      <c r="A119" s="20" t="s">
        <v>152</v>
      </c>
      <c r="B119" s="671"/>
      <c r="C119" s="39" t="s">
        <v>2867</v>
      </c>
      <c r="E119" s="39" t="s">
        <v>2896</v>
      </c>
      <c r="F119" s="39" t="s">
        <v>111</v>
      </c>
      <c r="G119" s="39" t="s">
        <v>1518</v>
      </c>
      <c r="H119" s="610">
        <v>54269002244</v>
      </c>
      <c r="I119" s="49">
        <v>10054269002241</v>
      </c>
      <c r="J119" s="49">
        <v>20054269002248</v>
      </c>
      <c r="K119" s="38" t="s">
        <v>108</v>
      </c>
      <c r="L119" s="58" t="s">
        <v>325</v>
      </c>
      <c r="M119" s="679">
        <v>59.99</v>
      </c>
      <c r="N119" s="22">
        <v>4</v>
      </c>
      <c r="O119" s="703">
        <v>16</v>
      </c>
      <c r="P119" s="621">
        <v>1</v>
      </c>
      <c r="Q119" s="621">
        <v>3.75</v>
      </c>
      <c r="R119" s="621">
        <v>3.75</v>
      </c>
      <c r="S119" s="634">
        <v>9</v>
      </c>
      <c r="T119" s="42">
        <v>1.1599999999999999</v>
      </c>
      <c r="U119" s="39">
        <v>3.75</v>
      </c>
      <c r="V119" s="39">
        <v>3.75</v>
      </c>
      <c r="W119" s="279">
        <v>9</v>
      </c>
      <c r="X119" s="397">
        <v>5.33</v>
      </c>
      <c r="Y119" s="22">
        <v>8.125</v>
      </c>
      <c r="Z119" s="22">
        <v>8.125</v>
      </c>
      <c r="AA119" s="279">
        <v>9.875</v>
      </c>
      <c r="AB119" s="46">
        <v>22.5</v>
      </c>
      <c r="AC119" s="39">
        <v>17</v>
      </c>
      <c r="AD119" s="39">
        <v>17</v>
      </c>
      <c r="AE119" s="279">
        <v>10.875</v>
      </c>
      <c r="AF119" s="44">
        <f t="shared" si="8"/>
        <v>1.8187934027777777</v>
      </c>
      <c r="AG119" s="39" t="s">
        <v>2753</v>
      </c>
      <c r="AH119" s="39" t="s">
        <v>3120</v>
      </c>
      <c r="AI119" s="39" t="s">
        <v>2755</v>
      </c>
      <c r="AJ119" s="39" t="s">
        <v>3121</v>
      </c>
      <c r="AK119" s="39" t="s">
        <v>3119</v>
      </c>
      <c r="AL119" s="39"/>
      <c r="AM119" s="39"/>
      <c r="AN119" s="39"/>
      <c r="AO119" s="640" t="s">
        <v>2936</v>
      </c>
      <c r="AP119" s="161" t="s">
        <v>1247</v>
      </c>
    </row>
    <row r="120" spans="1:264" x14ac:dyDescent="0.25">
      <c r="A120" s="20" t="s">
        <v>152</v>
      </c>
      <c r="B120" s="671"/>
      <c r="C120" s="39" t="s">
        <v>2868</v>
      </c>
      <c r="E120" s="39" t="s">
        <v>2871</v>
      </c>
      <c r="F120" s="22" t="s">
        <v>2737</v>
      </c>
      <c r="G120" s="39" t="s">
        <v>1518</v>
      </c>
      <c r="H120" s="610">
        <v>54269002251</v>
      </c>
      <c r="I120" s="49">
        <v>10054269002258</v>
      </c>
      <c r="J120" s="49">
        <v>20054269002255</v>
      </c>
      <c r="K120" s="38" t="s">
        <v>108</v>
      </c>
      <c r="L120" s="58" t="s">
        <v>325</v>
      </c>
      <c r="M120" s="679">
        <v>29.99</v>
      </c>
      <c r="N120" s="39">
        <v>4</v>
      </c>
      <c r="O120" s="703">
        <v>16</v>
      </c>
      <c r="P120" s="621">
        <v>0.67</v>
      </c>
      <c r="Q120" s="621">
        <v>3.25</v>
      </c>
      <c r="R120" s="621">
        <v>3.75</v>
      </c>
      <c r="S120" s="634">
        <v>5</v>
      </c>
      <c r="T120" s="42">
        <v>0.62</v>
      </c>
      <c r="U120" s="39">
        <v>3.75</v>
      </c>
      <c r="V120" s="39">
        <v>3.75</v>
      </c>
      <c r="W120" s="279">
        <v>5.1749999999999998</v>
      </c>
      <c r="X120" s="397">
        <v>2.96</v>
      </c>
      <c r="Y120" s="42">
        <v>8</v>
      </c>
      <c r="Z120" s="42">
        <v>8</v>
      </c>
      <c r="AA120" s="279">
        <v>6.25</v>
      </c>
      <c r="AB120" s="46">
        <v>12.1</v>
      </c>
      <c r="AC120" s="39">
        <v>8.5</v>
      </c>
      <c r="AD120" s="39">
        <v>16.5</v>
      </c>
      <c r="AE120" s="279">
        <v>12.75</v>
      </c>
      <c r="AF120" s="44">
        <f t="shared" si="8"/>
        <v>1.0348307291666667</v>
      </c>
      <c r="AG120" s="39" t="s">
        <v>2753</v>
      </c>
      <c r="AH120" s="39" t="s">
        <v>2755</v>
      </c>
      <c r="AI120" s="39" t="s">
        <v>3121</v>
      </c>
      <c r="AJ120" s="39" t="s">
        <v>3122</v>
      </c>
      <c r="AK120" s="39"/>
      <c r="AL120" s="39"/>
      <c r="AM120" s="39"/>
      <c r="AN120" s="39"/>
      <c r="AO120" s="69" t="s">
        <v>2899</v>
      </c>
      <c r="AP120" s="161" t="s">
        <v>1247</v>
      </c>
    </row>
    <row r="121" spans="1:264" x14ac:dyDescent="0.25">
      <c r="A121" s="20" t="s">
        <v>152</v>
      </c>
      <c r="B121" s="671"/>
      <c r="C121" s="39" t="s">
        <v>2869</v>
      </c>
      <c r="E121" s="39" t="s">
        <v>2898</v>
      </c>
      <c r="F121" s="39" t="s">
        <v>111</v>
      </c>
      <c r="G121" s="22" t="s">
        <v>1518</v>
      </c>
      <c r="H121" s="610">
        <v>54269002275</v>
      </c>
      <c r="I121" s="49">
        <v>10054269002272</v>
      </c>
      <c r="J121" s="49">
        <v>20054269002279</v>
      </c>
      <c r="K121" s="38" t="s">
        <v>108</v>
      </c>
      <c r="L121" s="58" t="s">
        <v>325</v>
      </c>
      <c r="M121" s="679">
        <v>49.99</v>
      </c>
      <c r="N121" s="39">
        <v>4</v>
      </c>
      <c r="O121" s="703">
        <v>16</v>
      </c>
      <c r="P121" s="621">
        <v>0.74</v>
      </c>
      <c r="Q121" s="621">
        <v>3.25</v>
      </c>
      <c r="R121" s="621">
        <v>3.75</v>
      </c>
      <c r="S121" s="634">
        <v>5</v>
      </c>
      <c r="T121" s="42">
        <v>0.88</v>
      </c>
      <c r="U121" s="39">
        <v>3.75</v>
      </c>
      <c r="V121" s="39">
        <v>3.75</v>
      </c>
      <c r="W121" s="279">
        <v>5.1749999999999998</v>
      </c>
      <c r="X121" s="397">
        <v>3.97</v>
      </c>
      <c r="Y121" s="42">
        <v>8</v>
      </c>
      <c r="Z121" s="42">
        <v>8</v>
      </c>
      <c r="AA121" s="279">
        <v>6.25</v>
      </c>
      <c r="AB121" s="46">
        <v>16.2</v>
      </c>
      <c r="AC121" s="39">
        <v>8.5</v>
      </c>
      <c r="AD121" s="39">
        <v>16.5</v>
      </c>
      <c r="AE121" s="279">
        <v>12.75</v>
      </c>
      <c r="AF121" s="44">
        <f t="shared" si="8"/>
        <v>1.0348307291666667</v>
      </c>
      <c r="AG121" s="39" t="s">
        <v>2753</v>
      </c>
      <c r="AH121" s="39" t="s">
        <v>2755</v>
      </c>
      <c r="AI121" s="39" t="s">
        <v>3121</v>
      </c>
      <c r="AJ121" s="39" t="s">
        <v>3123</v>
      </c>
      <c r="AK121" s="39"/>
      <c r="AL121" s="39"/>
      <c r="AM121" s="39"/>
      <c r="AN121" s="39"/>
      <c r="AO121" s="22" t="s">
        <v>2901</v>
      </c>
      <c r="AP121" s="161" t="s">
        <v>1247</v>
      </c>
    </row>
    <row r="122" spans="1:264" ht="13.5" customHeight="1" x14ac:dyDescent="0.3">
      <c r="A122" s="20" t="s">
        <v>152</v>
      </c>
      <c r="B122" s="671"/>
      <c r="C122" s="39" t="s">
        <v>2662</v>
      </c>
      <c r="D122" s="17"/>
      <c r="E122" s="39" t="s">
        <v>2663</v>
      </c>
      <c r="F122" s="39"/>
      <c r="G122" s="39" t="s">
        <v>2539</v>
      </c>
      <c r="H122" s="30" t="s">
        <v>2665</v>
      </c>
      <c r="I122" s="178"/>
      <c r="J122" s="178"/>
      <c r="K122" s="38" t="s">
        <v>108</v>
      </c>
      <c r="L122" s="261" t="s">
        <v>325</v>
      </c>
      <c r="M122" s="679">
        <v>29.99</v>
      </c>
      <c r="N122" s="39">
        <v>6</v>
      </c>
      <c r="O122" s="279">
        <v>24</v>
      </c>
      <c r="P122" s="620">
        <v>0.35199999999999998</v>
      </c>
      <c r="Q122" s="621">
        <v>5.7</v>
      </c>
      <c r="R122" s="621">
        <v>2.25</v>
      </c>
      <c r="S122" s="627">
        <v>2.25</v>
      </c>
      <c r="T122" s="397">
        <v>0.4</v>
      </c>
      <c r="U122" s="39">
        <v>7.6</v>
      </c>
      <c r="V122" s="39">
        <v>5.0999999999999996</v>
      </c>
      <c r="W122" s="279">
        <v>2.5</v>
      </c>
      <c r="X122" s="39">
        <v>2.8</v>
      </c>
      <c r="Y122" s="39">
        <v>7.8</v>
      </c>
      <c r="Z122" s="39">
        <v>6.5</v>
      </c>
      <c r="AA122" s="279">
        <v>7.1</v>
      </c>
      <c r="AB122" s="397">
        <v>12.3</v>
      </c>
      <c r="AC122" s="39">
        <v>14</v>
      </c>
      <c r="AD122" s="39">
        <v>8.3000000000000007</v>
      </c>
      <c r="AE122" s="279">
        <v>15</v>
      </c>
      <c r="AF122" s="44">
        <f t="shared" si="8"/>
        <v>1.0086805555555556</v>
      </c>
      <c r="AG122" s="640" t="s">
        <v>2747</v>
      </c>
      <c r="AH122" s="640" t="s">
        <v>2748</v>
      </c>
      <c r="AI122" s="640" t="s">
        <v>2749</v>
      </c>
      <c r="AJ122" s="640" t="s">
        <v>2750</v>
      </c>
      <c r="AK122" s="640" t="s">
        <v>2751</v>
      </c>
      <c r="AL122" s="39"/>
      <c r="AM122" s="39"/>
      <c r="AN122" s="39"/>
      <c r="AO122" s="22" t="s">
        <v>2891</v>
      </c>
      <c r="AP122" s="161" t="s">
        <v>1247</v>
      </c>
      <c r="AQ122" s="39"/>
    </row>
    <row r="123" spans="1:264" ht="13.8" x14ac:dyDescent="0.3">
      <c r="A123" s="20" t="s">
        <v>152</v>
      </c>
      <c r="B123" s="671"/>
      <c r="C123" s="39" t="s">
        <v>2669</v>
      </c>
      <c r="D123" s="39"/>
      <c r="E123" s="39" t="s">
        <v>2670</v>
      </c>
      <c r="F123" s="39" t="s">
        <v>2737</v>
      </c>
      <c r="G123" s="39" t="s">
        <v>1518</v>
      </c>
      <c r="H123" s="30" t="s">
        <v>2713</v>
      </c>
      <c r="I123" s="673">
        <v>10054269001978</v>
      </c>
      <c r="J123" s="673">
        <v>20054269001975</v>
      </c>
      <c r="K123" s="38" t="s">
        <v>108</v>
      </c>
      <c r="L123" s="261" t="s">
        <v>325</v>
      </c>
      <c r="M123" s="679">
        <v>39.99</v>
      </c>
      <c r="N123" s="39">
        <v>4</v>
      </c>
      <c r="O123" s="279">
        <v>16</v>
      </c>
      <c r="P123" s="620">
        <v>0.84</v>
      </c>
      <c r="Q123" s="621">
        <v>3.7</v>
      </c>
      <c r="R123" s="621">
        <v>3.7</v>
      </c>
      <c r="S123" s="627">
        <v>8.8000000000000007</v>
      </c>
      <c r="T123" s="397">
        <v>0.98</v>
      </c>
      <c r="U123" s="39">
        <v>3.75</v>
      </c>
      <c r="V123" s="39">
        <v>3.75</v>
      </c>
      <c r="W123" s="279">
        <v>9</v>
      </c>
      <c r="X123" s="39">
        <v>4.6399999999999997</v>
      </c>
      <c r="Y123" s="39">
        <v>8.125</v>
      </c>
      <c r="Z123" s="39">
        <v>8.125</v>
      </c>
      <c r="AA123" s="279">
        <v>9.875</v>
      </c>
      <c r="AB123" s="397">
        <v>20.72</v>
      </c>
      <c r="AC123" s="39">
        <v>17</v>
      </c>
      <c r="AD123" s="39">
        <v>17</v>
      </c>
      <c r="AE123" s="279">
        <v>10.875</v>
      </c>
      <c r="AF123" s="44">
        <f t="shared" si="8"/>
        <v>1.8187934027777777</v>
      </c>
      <c r="AG123" s="283" t="s">
        <v>2753</v>
      </c>
      <c r="AH123" s="283" t="s">
        <v>2754</v>
      </c>
      <c r="AI123" s="283" t="s">
        <v>2755</v>
      </c>
      <c r="AJ123" s="283" t="s">
        <v>2756</v>
      </c>
      <c r="AK123" s="283" t="s">
        <v>2757</v>
      </c>
      <c r="AL123" s="39"/>
      <c r="AM123" s="39"/>
      <c r="AN123" s="39"/>
      <c r="AO123" s="640" t="s">
        <v>2752</v>
      </c>
      <c r="AP123" s="161" t="s">
        <v>1247</v>
      </c>
      <c r="AQ123" s="39"/>
    </row>
    <row r="124" spans="1:264" ht="13.8" x14ac:dyDescent="0.3">
      <c r="A124" s="20" t="s">
        <v>152</v>
      </c>
      <c r="B124" s="366"/>
      <c r="C124" s="21" t="s">
        <v>2647</v>
      </c>
      <c r="D124" s="39" t="s">
        <v>2648</v>
      </c>
      <c r="E124" s="39" t="s">
        <v>2664</v>
      </c>
      <c r="F124" s="39" t="s">
        <v>2650</v>
      </c>
      <c r="G124" s="39" t="s">
        <v>2539</v>
      </c>
      <c r="H124" s="30" t="s">
        <v>2666</v>
      </c>
      <c r="I124" s="673">
        <v>10054269001787</v>
      </c>
      <c r="J124" s="673">
        <v>20054269001784</v>
      </c>
      <c r="K124" s="38" t="s">
        <v>108</v>
      </c>
      <c r="L124" s="261" t="s">
        <v>325</v>
      </c>
      <c r="M124" s="679">
        <v>14.99</v>
      </c>
      <c r="N124" s="39">
        <v>6</v>
      </c>
      <c r="O124" s="279">
        <v>24</v>
      </c>
      <c r="P124" s="620">
        <f>CONVERT(45,"g","lbm")</f>
        <v>9.920801798319491E-2</v>
      </c>
      <c r="Q124" s="621">
        <v>1.6</v>
      </c>
      <c r="R124" s="621">
        <v>1.6</v>
      </c>
      <c r="S124" s="622" t="s">
        <v>2695</v>
      </c>
      <c r="T124" s="46">
        <f>CONVERT(65,"g","lbm")</f>
        <v>0.14330047042017041</v>
      </c>
      <c r="U124" s="177">
        <v>4.5</v>
      </c>
      <c r="V124" s="177">
        <v>1.375</v>
      </c>
      <c r="W124" s="227">
        <v>7</v>
      </c>
      <c r="X124" s="397">
        <v>0.95</v>
      </c>
      <c r="Y124" s="39">
        <v>7.5</v>
      </c>
      <c r="Z124" s="39">
        <v>4.5</v>
      </c>
      <c r="AA124" s="279">
        <v>4.5</v>
      </c>
      <c r="AB124" s="397">
        <v>3.85</v>
      </c>
      <c r="AC124" s="39">
        <v>10</v>
      </c>
      <c r="AD124" s="39">
        <v>9.25</v>
      </c>
      <c r="AE124" s="279">
        <v>8</v>
      </c>
      <c r="AF124" s="397">
        <v>0.42</v>
      </c>
      <c r="AG124" s="39" t="s">
        <v>2711</v>
      </c>
      <c r="AH124" s="39" t="s">
        <v>1358</v>
      </c>
      <c r="AI124" s="39" t="s">
        <v>2686</v>
      </c>
      <c r="AJ124" s="39" t="s">
        <v>2687</v>
      </c>
      <c r="AK124" s="39" t="s">
        <v>2688</v>
      </c>
      <c r="AL124" s="39" t="s">
        <v>2696</v>
      </c>
      <c r="AM124" s="98" t="s">
        <v>2697</v>
      </c>
      <c r="AN124" s="98"/>
      <c r="AO124" s="22" t="s">
        <v>2765</v>
      </c>
      <c r="AP124" s="169" t="s">
        <v>1247</v>
      </c>
      <c r="AQ124" s="98"/>
    </row>
    <row r="125" spans="1:264" ht="13.8" x14ac:dyDescent="0.3">
      <c r="A125" s="20" t="s">
        <v>152</v>
      </c>
      <c r="B125" s="366"/>
      <c r="C125" s="21" t="s">
        <v>2647</v>
      </c>
      <c r="D125" s="39" t="s">
        <v>87</v>
      </c>
      <c r="E125" s="39" t="s">
        <v>2664</v>
      </c>
      <c r="F125" s="39" t="s">
        <v>54</v>
      </c>
      <c r="G125" s="39" t="s">
        <v>2539</v>
      </c>
      <c r="H125" s="30" t="s">
        <v>2667</v>
      </c>
      <c r="I125" s="673">
        <v>10054269001794</v>
      </c>
      <c r="J125" s="673">
        <v>20054269001791</v>
      </c>
      <c r="K125" s="38" t="s">
        <v>108</v>
      </c>
      <c r="L125" s="261" t="s">
        <v>325</v>
      </c>
      <c r="M125" s="679">
        <v>14.99</v>
      </c>
      <c r="N125" s="39">
        <v>6</v>
      </c>
      <c r="O125" s="279">
        <v>24</v>
      </c>
      <c r="P125" s="620">
        <f>CONVERT(45,"g","lbm")</f>
        <v>9.920801798319491E-2</v>
      </c>
      <c r="Q125" s="621">
        <v>1.6</v>
      </c>
      <c r="R125" s="621">
        <v>1.6</v>
      </c>
      <c r="S125" s="622" t="s">
        <v>2695</v>
      </c>
      <c r="T125" s="46">
        <f>CONVERT(65,"g","lbm")</f>
        <v>0.14330047042017041</v>
      </c>
      <c r="U125" s="177">
        <v>4.5</v>
      </c>
      <c r="V125" s="177">
        <v>1.375</v>
      </c>
      <c r="W125" s="227">
        <v>7</v>
      </c>
      <c r="X125" s="397">
        <v>0.95</v>
      </c>
      <c r="Y125" s="39">
        <v>7.5</v>
      </c>
      <c r="Z125" s="39">
        <v>4.5</v>
      </c>
      <c r="AA125" s="279">
        <v>4.5</v>
      </c>
      <c r="AB125" s="397">
        <v>3.85</v>
      </c>
      <c r="AC125" s="39">
        <v>10</v>
      </c>
      <c r="AD125" s="39">
        <v>9.25</v>
      </c>
      <c r="AE125" s="279">
        <v>8</v>
      </c>
      <c r="AF125" s="397">
        <v>0.42</v>
      </c>
      <c r="AG125" s="39" t="s">
        <v>2711</v>
      </c>
      <c r="AH125" s="39" t="s">
        <v>1358</v>
      </c>
      <c r="AI125" s="39" t="s">
        <v>2686</v>
      </c>
      <c r="AJ125" s="39" t="s">
        <v>2687</v>
      </c>
      <c r="AK125" s="39" t="s">
        <v>2688</v>
      </c>
      <c r="AL125" s="39" t="s">
        <v>2696</v>
      </c>
      <c r="AM125" s="98" t="s">
        <v>2697</v>
      </c>
      <c r="AN125" s="98"/>
      <c r="AO125" t="s">
        <v>2765</v>
      </c>
      <c r="AP125" s="169" t="s">
        <v>1247</v>
      </c>
      <c r="AQ125" s="98"/>
    </row>
    <row r="126" spans="1:264" ht="13.8" x14ac:dyDescent="0.3">
      <c r="A126" s="20" t="s">
        <v>152</v>
      </c>
      <c r="B126" s="366"/>
      <c r="C126" s="21" t="s">
        <v>2647</v>
      </c>
      <c r="D126" s="39" t="s">
        <v>2649</v>
      </c>
      <c r="E126" s="39" t="s">
        <v>2664</v>
      </c>
      <c r="F126" s="39" t="s">
        <v>2651</v>
      </c>
      <c r="G126" s="39" t="s">
        <v>2539</v>
      </c>
      <c r="H126" s="30" t="s">
        <v>2668</v>
      </c>
      <c r="I126" s="673">
        <v>10054269001800</v>
      </c>
      <c r="J126" s="673">
        <v>20054269001807</v>
      </c>
      <c r="K126" s="38" t="s">
        <v>108</v>
      </c>
      <c r="L126" s="261" t="s">
        <v>325</v>
      </c>
      <c r="M126" s="679">
        <v>14.99</v>
      </c>
      <c r="N126" s="39">
        <v>6</v>
      </c>
      <c r="O126" s="279">
        <v>24</v>
      </c>
      <c r="P126" s="620">
        <f>CONVERT(45,"g","lbm")</f>
        <v>9.920801798319491E-2</v>
      </c>
      <c r="Q126" s="621">
        <v>1.6</v>
      </c>
      <c r="R126" s="621">
        <v>1.6</v>
      </c>
      <c r="S126" s="622" t="s">
        <v>2695</v>
      </c>
      <c r="T126" s="46">
        <f>CONVERT(65,"g","lbm")</f>
        <v>0.14330047042017041</v>
      </c>
      <c r="U126" s="177">
        <v>4.5</v>
      </c>
      <c r="V126" s="177">
        <v>1.375</v>
      </c>
      <c r="W126" s="227">
        <v>7</v>
      </c>
      <c r="X126" s="397">
        <v>0.95</v>
      </c>
      <c r="Y126" s="39">
        <v>7.5</v>
      </c>
      <c r="Z126" s="39">
        <v>4.5</v>
      </c>
      <c r="AA126" s="279">
        <v>4.5</v>
      </c>
      <c r="AB126" s="397">
        <v>3.85</v>
      </c>
      <c r="AC126" s="39">
        <v>10</v>
      </c>
      <c r="AD126" s="39">
        <v>9.25</v>
      </c>
      <c r="AE126" s="279">
        <v>8</v>
      </c>
      <c r="AF126" s="397">
        <v>0.42</v>
      </c>
      <c r="AG126" s="39" t="s">
        <v>2711</v>
      </c>
      <c r="AH126" s="39" t="s">
        <v>1358</v>
      </c>
      <c r="AI126" s="39" t="s">
        <v>2686</v>
      </c>
      <c r="AJ126" s="39" t="s">
        <v>2687</v>
      </c>
      <c r="AK126" s="39" t="s">
        <v>2688</v>
      </c>
      <c r="AL126" s="39" t="s">
        <v>2696</v>
      </c>
      <c r="AM126" s="98" t="s">
        <v>2697</v>
      </c>
      <c r="AN126" s="98"/>
      <c r="AO126" t="s">
        <v>2765</v>
      </c>
      <c r="AP126" s="169" t="s">
        <v>1247</v>
      </c>
      <c r="AQ126" s="98"/>
    </row>
    <row r="127" spans="1:264" ht="13.8" x14ac:dyDescent="0.3">
      <c r="A127" s="20" t="s">
        <v>152</v>
      </c>
      <c r="B127" s="671"/>
      <c r="C127" s="26" t="s">
        <v>1466</v>
      </c>
      <c r="D127" s="39" t="s">
        <v>1240</v>
      </c>
      <c r="E127" s="21" t="s">
        <v>2690</v>
      </c>
      <c r="F127" s="39" t="s">
        <v>1243</v>
      </c>
      <c r="G127" s="39" t="s">
        <v>1518</v>
      </c>
      <c r="H127" s="30" t="s">
        <v>1547</v>
      </c>
      <c r="I127" s="30" t="s">
        <v>1548</v>
      </c>
      <c r="J127" s="30" t="s">
        <v>1549</v>
      </c>
      <c r="K127" s="29" t="s">
        <v>108</v>
      </c>
      <c r="L127" s="58" t="s">
        <v>325</v>
      </c>
      <c r="M127" s="691">
        <v>59.99</v>
      </c>
      <c r="N127" s="39">
        <v>3</v>
      </c>
      <c r="O127" s="279">
        <v>24</v>
      </c>
      <c r="P127" s="620">
        <f>4.9/16</f>
        <v>0.30625000000000002</v>
      </c>
      <c r="Q127" s="633">
        <v>2.2999999999999998</v>
      </c>
      <c r="R127" s="633">
        <v>1.3</v>
      </c>
      <c r="S127" s="627">
        <v>1.8</v>
      </c>
      <c r="T127" s="397">
        <v>0.48599999999999999</v>
      </c>
      <c r="U127" s="39">
        <v>7.87</v>
      </c>
      <c r="V127" s="39">
        <v>5.125</v>
      </c>
      <c r="W127" s="279">
        <v>2.375</v>
      </c>
      <c r="X127" s="397">
        <v>1.95</v>
      </c>
      <c r="Y127" s="39">
        <v>7.75</v>
      </c>
      <c r="Z127" s="39">
        <v>8.25</v>
      </c>
      <c r="AA127" s="279">
        <v>5.5</v>
      </c>
      <c r="AB127" s="397">
        <v>8.74</v>
      </c>
      <c r="AC127" s="39">
        <v>16.100000000000001</v>
      </c>
      <c r="AD127" s="39">
        <v>9.1</v>
      </c>
      <c r="AE127" s="279">
        <v>12.4</v>
      </c>
      <c r="AF127" s="44">
        <f t="shared" ref="AF127:AF146" si="9">AC127*AD127*AE127/(12^3)</f>
        <v>1.0513449074074077</v>
      </c>
      <c r="AG127" s="65" t="s">
        <v>2692</v>
      </c>
      <c r="AH127" s="39" t="s">
        <v>1454</v>
      </c>
      <c r="AI127" s="39" t="s">
        <v>1982</v>
      </c>
      <c r="AJ127" s="42" t="s">
        <v>1983</v>
      </c>
      <c r="AK127" s="607" t="s">
        <v>1429</v>
      </c>
      <c r="AL127" s="98" t="s">
        <v>2693</v>
      </c>
      <c r="AM127" s="160"/>
      <c r="AN127" s="39"/>
      <c r="AO127" s="640" t="s">
        <v>2758</v>
      </c>
      <c r="AP127" s="169" t="s">
        <v>1247</v>
      </c>
      <c r="AQ127" s="39"/>
    </row>
    <row r="128" spans="1:264" ht="13.8" x14ac:dyDescent="0.3">
      <c r="A128" s="20" t="s">
        <v>152</v>
      </c>
      <c r="B128" s="671"/>
      <c r="C128" s="26" t="s">
        <v>1466</v>
      </c>
      <c r="D128" s="39" t="s">
        <v>95</v>
      </c>
      <c r="E128" s="21" t="s">
        <v>2690</v>
      </c>
      <c r="F128" s="39" t="s">
        <v>111</v>
      </c>
      <c r="G128" s="39" t="s">
        <v>1518</v>
      </c>
      <c r="H128" s="30" t="s">
        <v>1550</v>
      </c>
      <c r="I128" s="30" t="s">
        <v>1551</v>
      </c>
      <c r="J128" s="30" t="s">
        <v>1552</v>
      </c>
      <c r="K128" s="29" t="s">
        <v>108</v>
      </c>
      <c r="L128" s="58" t="s">
        <v>325</v>
      </c>
      <c r="M128" s="691">
        <v>59.99</v>
      </c>
      <c r="N128" s="39">
        <v>3</v>
      </c>
      <c r="O128" s="279">
        <v>24</v>
      </c>
      <c r="P128" s="620">
        <f>4.9/16</f>
        <v>0.30625000000000002</v>
      </c>
      <c r="Q128" s="633">
        <v>2.2999999999999998</v>
      </c>
      <c r="R128" s="633">
        <v>1.3</v>
      </c>
      <c r="S128" s="627">
        <v>1.8</v>
      </c>
      <c r="T128" s="397">
        <v>0.48599999999999999</v>
      </c>
      <c r="U128" s="39">
        <v>7.87</v>
      </c>
      <c r="V128" s="39">
        <v>5.125</v>
      </c>
      <c r="W128" s="279">
        <v>2.375</v>
      </c>
      <c r="X128" s="397">
        <v>1.95</v>
      </c>
      <c r="Y128" s="39">
        <v>7.75</v>
      </c>
      <c r="Z128" s="39">
        <v>8.25</v>
      </c>
      <c r="AA128" s="279">
        <v>5.5</v>
      </c>
      <c r="AB128" s="397">
        <v>8.74</v>
      </c>
      <c r="AC128" s="39">
        <v>16.100000000000001</v>
      </c>
      <c r="AD128" s="39">
        <v>9.1</v>
      </c>
      <c r="AE128" s="279">
        <v>12.4</v>
      </c>
      <c r="AF128" s="44">
        <f t="shared" si="9"/>
        <v>1.0513449074074077</v>
      </c>
      <c r="AG128" s="65" t="s">
        <v>2692</v>
      </c>
      <c r="AH128" s="39" t="s">
        <v>1454</v>
      </c>
      <c r="AI128" s="39" t="s">
        <v>1982</v>
      </c>
      <c r="AJ128" s="42" t="s">
        <v>1983</v>
      </c>
      <c r="AK128" s="607" t="s">
        <v>1429</v>
      </c>
      <c r="AL128" s="98" t="s">
        <v>2693</v>
      </c>
      <c r="AM128" s="160"/>
      <c r="AN128" s="39"/>
      <c r="AO128" s="640" t="s">
        <v>2758</v>
      </c>
      <c r="AP128" s="169" t="s">
        <v>1247</v>
      </c>
      <c r="AQ128" s="39"/>
    </row>
    <row r="129" spans="1:43" ht="13.8" x14ac:dyDescent="0.3">
      <c r="A129" s="20" t="s">
        <v>152</v>
      </c>
      <c r="B129" s="671"/>
      <c r="C129" s="26" t="s">
        <v>1467</v>
      </c>
      <c r="D129" s="39" t="s">
        <v>95</v>
      </c>
      <c r="E129" s="21" t="s">
        <v>2691</v>
      </c>
      <c r="F129" s="39" t="s">
        <v>111</v>
      </c>
      <c r="G129" s="39" t="s">
        <v>1518</v>
      </c>
      <c r="H129" s="30" t="s">
        <v>1553</v>
      </c>
      <c r="I129" s="30" t="s">
        <v>1554</v>
      </c>
      <c r="J129" s="30" t="s">
        <v>1555</v>
      </c>
      <c r="K129" s="29" t="s">
        <v>108</v>
      </c>
      <c r="L129" s="58" t="s">
        <v>325</v>
      </c>
      <c r="M129" s="691">
        <v>79.989999999999995</v>
      </c>
      <c r="N129" s="39">
        <v>3</v>
      </c>
      <c r="O129" s="279">
        <v>24</v>
      </c>
      <c r="P129" s="620">
        <f>4.9/16</f>
        <v>0.30625000000000002</v>
      </c>
      <c r="Q129" s="633">
        <v>2.2999999999999998</v>
      </c>
      <c r="R129" s="633">
        <v>1.3</v>
      </c>
      <c r="S129" s="627">
        <v>1.8</v>
      </c>
      <c r="T129" s="397">
        <v>0.48599999999999999</v>
      </c>
      <c r="U129" s="39">
        <v>7.87</v>
      </c>
      <c r="V129" s="39">
        <v>5.125</v>
      </c>
      <c r="W129" s="279">
        <v>2.375</v>
      </c>
      <c r="X129" s="397">
        <v>1.8</v>
      </c>
      <c r="Y129" s="39">
        <v>7.75</v>
      </c>
      <c r="Z129" s="39">
        <v>8.25</v>
      </c>
      <c r="AA129" s="279">
        <v>5.5</v>
      </c>
      <c r="AB129" s="397">
        <v>8.17</v>
      </c>
      <c r="AC129" s="39">
        <v>16.100000000000001</v>
      </c>
      <c r="AD129" s="39">
        <v>9.1</v>
      </c>
      <c r="AE129" s="279">
        <v>12.4</v>
      </c>
      <c r="AF129" s="44">
        <f t="shared" si="9"/>
        <v>1.0513449074074077</v>
      </c>
      <c r="AG129" s="65" t="s">
        <v>1981</v>
      </c>
      <c r="AH129" s="39" t="s">
        <v>1454</v>
      </c>
      <c r="AI129" s="39" t="s">
        <v>1982</v>
      </c>
      <c r="AJ129" s="42" t="s">
        <v>1983</v>
      </c>
      <c r="AK129" s="607" t="s">
        <v>1985</v>
      </c>
      <c r="AL129" s="98" t="s">
        <v>1986</v>
      </c>
      <c r="AM129" s="160"/>
      <c r="AN129" s="39"/>
      <c r="AO129" s="640" t="s">
        <v>2759</v>
      </c>
      <c r="AP129" s="169" t="s">
        <v>1247</v>
      </c>
      <c r="AQ129" s="39"/>
    </row>
    <row r="130" spans="1:43" s="16" customFormat="1" x14ac:dyDescent="0.25">
      <c r="A130" s="20" t="s">
        <v>152</v>
      </c>
      <c r="B130" s="141"/>
      <c r="C130" s="35" t="s">
        <v>358</v>
      </c>
      <c r="D130" s="35" t="s">
        <v>92</v>
      </c>
      <c r="E130" s="36" t="s">
        <v>1344</v>
      </c>
      <c r="F130" s="35" t="s">
        <v>51</v>
      </c>
      <c r="G130" s="35" t="s">
        <v>2539</v>
      </c>
      <c r="H130" s="81" t="s">
        <v>359</v>
      </c>
      <c r="I130" s="364" t="s">
        <v>66</v>
      </c>
      <c r="J130" s="364" t="s">
        <v>66</v>
      </c>
      <c r="K130" s="29" t="s">
        <v>108</v>
      </c>
      <c r="L130" s="133" t="s">
        <v>325</v>
      </c>
      <c r="M130" s="691">
        <v>19.989999999999998</v>
      </c>
      <c r="N130" s="19">
        <v>4</v>
      </c>
      <c r="O130" s="77">
        <v>16</v>
      </c>
      <c r="P130" s="620">
        <f>CONVERT(81,"g","lbm")</f>
        <v>0.17857443236975085</v>
      </c>
      <c r="Q130" s="621">
        <v>2</v>
      </c>
      <c r="R130" s="621">
        <v>2</v>
      </c>
      <c r="S130" s="622" t="s">
        <v>1633</v>
      </c>
      <c r="T130" s="46">
        <v>0.2</v>
      </c>
      <c r="U130" s="35">
        <v>4.375</v>
      </c>
      <c r="V130" s="35">
        <v>2.25</v>
      </c>
      <c r="W130" s="72">
        <v>7.125</v>
      </c>
      <c r="X130" s="46">
        <v>1</v>
      </c>
      <c r="Y130" s="35">
        <v>6.5</v>
      </c>
      <c r="Z130" s="35">
        <v>5.75</v>
      </c>
      <c r="AA130" s="72">
        <v>7.375</v>
      </c>
      <c r="AB130" s="46">
        <v>5.07</v>
      </c>
      <c r="AC130" s="35">
        <v>13.35</v>
      </c>
      <c r="AD130" s="35">
        <v>12.01</v>
      </c>
      <c r="AE130" s="72">
        <v>7.87</v>
      </c>
      <c r="AF130" s="44">
        <f t="shared" si="9"/>
        <v>0.73022259548611101</v>
      </c>
      <c r="AG130" s="22" t="s">
        <v>1357</v>
      </c>
      <c r="AH130" s="22" t="s">
        <v>1358</v>
      </c>
      <c r="AI130" s="22" t="s">
        <v>1359</v>
      </c>
      <c r="AJ130" s="22" t="s">
        <v>1360</v>
      </c>
      <c r="AK130" s="22" t="s">
        <v>1431</v>
      </c>
      <c r="AL130" s="22" t="s">
        <v>1361</v>
      </c>
      <c r="AM130" s="22" t="s">
        <v>1362</v>
      </c>
      <c r="AN130" s="48" t="s">
        <v>2698</v>
      </c>
      <c r="AO130" s="22" t="s">
        <v>1363</v>
      </c>
      <c r="AP130" s="161" t="s">
        <v>1247</v>
      </c>
      <c r="AQ130" s="48"/>
    </row>
    <row r="131" spans="1:43" x14ac:dyDescent="0.25">
      <c r="A131" s="267" t="s">
        <v>152</v>
      </c>
      <c r="B131" s="365"/>
      <c r="C131" s="298" t="s">
        <v>1461</v>
      </c>
      <c r="D131" s="22" t="s">
        <v>95</v>
      </c>
      <c r="E131" s="21" t="s">
        <v>1344</v>
      </c>
      <c r="F131" s="22" t="s">
        <v>111</v>
      </c>
      <c r="G131" s="35" t="s">
        <v>2539</v>
      </c>
      <c r="H131" s="30" t="s">
        <v>1533</v>
      </c>
      <c r="I131" s="49">
        <v>10054269001534</v>
      </c>
      <c r="J131" s="30" t="s">
        <v>1534</v>
      </c>
      <c r="K131" s="29" t="s">
        <v>108</v>
      </c>
      <c r="L131" s="58" t="s">
        <v>325</v>
      </c>
      <c r="M131" s="691">
        <v>14.99</v>
      </c>
      <c r="N131" s="39">
        <v>4</v>
      </c>
      <c r="O131" s="279">
        <v>16</v>
      </c>
      <c r="P131" s="620">
        <f>CONVERT(70.9,"g","lbm")</f>
        <v>0.1563077438890782</v>
      </c>
      <c r="Q131" s="621">
        <v>1.875</v>
      </c>
      <c r="R131" s="621">
        <v>1.875</v>
      </c>
      <c r="S131" s="622" t="s">
        <v>1633</v>
      </c>
      <c r="T131" s="46">
        <f>CONVERT(90,"g","lbm")</f>
        <v>0.19841603596638982</v>
      </c>
      <c r="U131" s="177">
        <v>4.5</v>
      </c>
      <c r="V131" s="177">
        <v>2.125</v>
      </c>
      <c r="W131" s="227">
        <v>7</v>
      </c>
      <c r="X131" s="46">
        <f>CONVERT(430,"g","lbm")</f>
        <v>0.94798772739497361</v>
      </c>
      <c r="Y131" s="177">
        <v>7.5</v>
      </c>
      <c r="Z131" s="177">
        <v>5.5</v>
      </c>
      <c r="AA131" s="227">
        <v>4.625</v>
      </c>
      <c r="AB131" s="46">
        <v>4.5999999999999996</v>
      </c>
      <c r="AC131" s="35">
        <f>CONVERT(30,"cm","in")</f>
        <v>11.811023622047244</v>
      </c>
      <c r="AD131" s="35">
        <f>CONVERT(21,"cm","in")</f>
        <v>8.2677165354330722</v>
      </c>
      <c r="AE131" s="72">
        <f>CONVERT(25,"cm","in")</f>
        <v>9.8425196850393704</v>
      </c>
      <c r="AF131" s="44">
        <f t="shared" si="9"/>
        <v>0.5562060008634454</v>
      </c>
      <c r="AG131" s="39" t="s">
        <v>1357</v>
      </c>
      <c r="AH131" s="39" t="s">
        <v>1358</v>
      </c>
      <c r="AI131" s="39" t="s">
        <v>1593</v>
      </c>
      <c r="AJ131" s="39" t="s">
        <v>1594</v>
      </c>
      <c r="AK131" s="39" t="s">
        <v>1431</v>
      </c>
      <c r="AL131" s="39" t="s">
        <v>1595</v>
      </c>
      <c r="AM131" s="39" t="s">
        <v>1362</v>
      </c>
      <c r="AN131" s="98" t="s">
        <v>2699</v>
      </c>
      <c r="AO131" s="39" t="s">
        <v>2234</v>
      </c>
      <c r="AP131" s="161" t="s">
        <v>1247</v>
      </c>
    </row>
    <row r="132" spans="1:43" x14ac:dyDescent="0.25">
      <c r="A132" s="267" t="s">
        <v>152</v>
      </c>
      <c r="B132" s="365"/>
      <c r="C132" s="298" t="s">
        <v>1461</v>
      </c>
      <c r="D132" s="22" t="s">
        <v>88</v>
      </c>
      <c r="E132" s="21" t="s">
        <v>1344</v>
      </c>
      <c r="F132" s="22" t="s">
        <v>49</v>
      </c>
      <c r="G132" s="35" t="s">
        <v>2539</v>
      </c>
      <c r="H132" s="30" t="s">
        <v>1535</v>
      </c>
      <c r="I132" s="30" t="s">
        <v>1536</v>
      </c>
      <c r="J132" s="30" t="s">
        <v>1537</v>
      </c>
      <c r="K132" s="29" t="s">
        <v>108</v>
      </c>
      <c r="L132" s="58" t="s">
        <v>325</v>
      </c>
      <c r="M132" s="691">
        <v>14.99</v>
      </c>
      <c r="N132" s="39">
        <v>4</v>
      </c>
      <c r="O132" s="279">
        <v>16</v>
      </c>
      <c r="P132" s="620">
        <f>CONVERT(70.9,"g","lbm")</f>
        <v>0.1563077438890782</v>
      </c>
      <c r="Q132" s="621">
        <v>1.875</v>
      </c>
      <c r="R132" s="621">
        <v>1.875</v>
      </c>
      <c r="S132" s="622" t="s">
        <v>1633</v>
      </c>
      <c r="T132" s="46">
        <f>CONVERT(90,"g","lbm")</f>
        <v>0.19841603596638982</v>
      </c>
      <c r="U132" s="177">
        <v>4.5</v>
      </c>
      <c r="V132" s="177">
        <v>2.125</v>
      </c>
      <c r="W132" s="227">
        <v>7</v>
      </c>
      <c r="X132" s="46">
        <f>CONVERT(430,"g","lbm")</f>
        <v>0.94798772739497361</v>
      </c>
      <c r="Y132" s="177">
        <v>7.5</v>
      </c>
      <c r="Z132" s="177">
        <v>5.5</v>
      </c>
      <c r="AA132" s="227">
        <v>4.625</v>
      </c>
      <c r="AB132" s="46">
        <v>4.5999999999999996</v>
      </c>
      <c r="AC132" s="35">
        <f>CONVERT(30,"cm","in")</f>
        <v>11.811023622047244</v>
      </c>
      <c r="AD132" s="35">
        <f>CONVERT(21,"cm","in")</f>
        <v>8.2677165354330722</v>
      </c>
      <c r="AE132" s="72">
        <f>CONVERT(25,"cm","in")</f>
        <v>9.8425196850393704</v>
      </c>
      <c r="AF132" s="44">
        <f t="shared" si="9"/>
        <v>0.5562060008634454</v>
      </c>
      <c r="AG132" s="39" t="s">
        <v>1357</v>
      </c>
      <c r="AH132" s="39" t="s">
        <v>1358</v>
      </c>
      <c r="AI132" s="39" t="s">
        <v>1593</v>
      </c>
      <c r="AJ132" s="39" t="s">
        <v>1594</v>
      </c>
      <c r="AK132" s="39" t="s">
        <v>1431</v>
      </c>
      <c r="AL132" s="39" t="s">
        <v>1595</v>
      </c>
      <c r="AM132" s="39" t="s">
        <v>1362</v>
      </c>
      <c r="AN132" s="98" t="s">
        <v>2699</v>
      </c>
      <c r="AO132" s="39" t="s">
        <v>2234</v>
      </c>
      <c r="AP132" s="161" t="s">
        <v>1247</v>
      </c>
    </row>
    <row r="133" spans="1:43" x14ac:dyDescent="0.25">
      <c r="A133" s="267" t="s">
        <v>152</v>
      </c>
      <c r="B133" s="365"/>
      <c r="C133" s="298" t="s">
        <v>1461</v>
      </c>
      <c r="D133" s="22" t="s">
        <v>92</v>
      </c>
      <c r="E133" s="21" t="s">
        <v>1344</v>
      </c>
      <c r="F133" s="22" t="s">
        <v>51</v>
      </c>
      <c r="G133" s="35" t="s">
        <v>2539</v>
      </c>
      <c r="H133" s="30" t="s">
        <v>1538</v>
      </c>
      <c r="I133" s="30" t="s">
        <v>1539</v>
      </c>
      <c r="J133" s="30" t="s">
        <v>1540</v>
      </c>
      <c r="K133" s="29" t="s">
        <v>108</v>
      </c>
      <c r="L133" s="58" t="s">
        <v>325</v>
      </c>
      <c r="M133" s="691">
        <v>14.99</v>
      </c>
      <c r="N133" s="39">
        <v>4</v>
      </c>
      <c r="O133" s="279">
        <v>16</v>
      </c>
      <c r="P133" s="620">
        <f>CONVERT(70.9,"g","lbm")</f>
        <v>0.1563077438890782</v>
      </c>
      <c r="Q133" s="621">
        <v>1.875</v>
      </c>
      <c r="R133" s="621">
        <v>1.875</v>
      </c>
      <c r="S133" s="622" t="s">
        <v>1633</v>
      </c>
      <c r="T133" s="46">
        <f>CONVERT(90,"g","lbm")</f>
        <v>0.19841603596638982</v>
      </c>
      <c r="U133" s="177">
        <v>4.5</v>
      </c>
      <c r="V133" s="177">
        <v>2.125</v>
      </c>
      <c r="W133" s="227">
        <v>7</v>
      </c>
      <c r="X133" s="46">
        <f>CONVERT(430,"g","lbm")</f>
        <v>0.94798772739497361</v>
      </c>
      <c r="Y133" s="177">
        <v>7.5</v>
      </c>
      <c r="Z133" s="177">
        <v>5.5</v>
      </c>
      <c r="AA133" s="227">
        <v>4.625</v>
      </c>
      <c r="AB133" s="46">
        <v>4.5999999999999996</v>
      </c>
      <c r="AC133" s="35">
        <f>CONVERT(30,"cm","in")</f>
        <v>11.811023622047244</v>
      </c>
      <c r="AD133" s="35">
        <f>CONVERT(21,"cm","in")</f>
        <v>8.2677165354330722</v>
      </c>
      <c r="AE133" s="72">
        <f>CONVERT(25,"cm","in")</f>
        <v>9.8425196850393704</v>
      </c>
      <c r="AF133" s="44">
        <f t="shared" si="9"/>
        <v>0.5562060008634454</v>
      </c>
      <c r="AG133" s="39" t="s">
        <v>1357</v>
      </c>
      <c r="AH133" s="39" t="s">
        <v>1358</v>
      </c>
      <c r="AI133" s="39" t="s">
        <v>1593</v>
      </c>
      <c r="AJ133" s="39" t="s">
        <v>1594</v>
      </c>
      <c r="AK133" s="39" t="s">
        <v>1431</v>
      </c>
      <c r="AL133" s="39" t="s">
        <v>1595</v>
      </c>
      <c r="AM133" s="39" t="s">
        <v>1362</v>
      </c>
      <c r="AN133" s="98" t="s">
        <v>2699</v>
      </c>
      <c r="AO133" s="39" t="s">
        <v>2234</v>
      </c>
      <c r="AP133" s="161" t="s">
        <v>1247</v>
      </c>
    </row>
    <row r="134" spans="1:43" s="16" customFormat="1" x14ac:dyDescent="0.25">
      <c r="A134" s="410" t="s">
        <v>152</v>
      </c>
      <c r="B134" s="411"/>
      <c r="C134" s="412" t="s">
        <v>297</v>
      </c>
      <c r="D134" s="412" t="s">
        <v>88</v>
      </c>
      <c r="E134" s="413" t="s">
        <v>1214</v>
      </c>
      <c r="F134" s="412" t="s">
        <v>49</v>
      </c>
      <c r="G134" s="412" t="s">
        <v>2539</v>
      </c>
      <c r="H134" s="415" t="s">
        <v>301</v>
      </c>
      <c r="I134" s="585" t="s">
        <v>66</v>
      </c>
      <c r="J134" s="585" t="s">
        <v>66</v>
      </c>
      <c r="K134" s="415" t="s">
        <v>108</v>
      </c>
      <c r="L134" s="586" t="s">
        <v>325</v>
      </c>
      <c r="M134" s="694">
        <v>29.99</v>
      </c>
      <c r="N134" s="417">
        <v>6</v>
      </c>
      <c r="O134" s="418">
        <v>36</v>
      </c>
      <c r="P134" s="624">
        <f>CONVERT(137,"g","lbm")</f>
        <v>0.30203329919328226</v>
      </c>
      <c r="Q134" s="625">
        <v>2.5</v>
      </c>
      <c r="R134" s="625">
        <v>2.5</v>
      </c>
      <c r="S134" s="631" t="s">
        <v>1633</v>
      </c>
      <c r="T134" s="419">
        <v>0.4</v>
      </c>
      <c r="U134" s="412">
        <v>7.25</v>
      </c>
      <c r="V134" s="412">
        <v>2.6749999999999998</v>
      </c>
      <c r="W134" s="420">
        <v>8.375</v>
      </c>
      <c r="X134" s="419">
        <v>2.65</v>
      </c>
      <c r="Y134" s="412">
        <v>10.75</v>
      </c>
      <c r="Z134" s="412">
        <v>8.25</v>
      </c>
      <c r="AA134" s="420">
        <v>8.6750000000000007</v>
      </c>
      <c r="AB134" s="419">
        <v>18.3</v>
      </c>
      <c r="AC134" s="412">
        <v>25.39</v>
      </c>
      <c r="AD134" s="412">
        <v>11.26</v>
      </c>
      <c r="AE134" s="420">
        <v>17.760000000000002</v>
      </c>
      <c r="AF134" s="419">
        <f t="shared" si="9"/>
        <v>2.9383282777777775</v>
      </c>
      <c r="AG134" s="421" t="s">
        <v>2710</v>
      </c>
      <c r="AH134" s="421" t="s">
        <v>1366</v>
      </c>
      <c r="AI134" s="421" t="s">
        <v>1369</v>
      </c>
      <c r="AJ134" s="421" t="s">
        <v>1367</v>
      </c>
      <c r="AK134" s="421" t="s">
        <v>1368</v>
      </c>
      <c r="AL134" s="421" t="s">
        <v>1370</v>
      </c>
      <c r="AM134" s="421" t="s">
        <v>1371</v>
      </c>
      <c r="AN134" s="587" t="s">
        <v>2700</v>
      </c>
      <c r="AO134" s="421" t="s">
        <v>1372</v>
      </c>
      <c r="AP134" s="588" t="s">
        <v>1247</v>
      </c>
      <c r="AQ134" s="587"/>
    </row>
    <row r="135" spans="1:43" s="16" customFormat="1" x14ac:dyDescent="0.25">
      <c r="A135" s="410" t="s">
        <v>152</v>
      </c>
      <c r="B135" s="411"/>
      <c r="C135" s="412" t="s">
        <v>297</v>
      </c>
      <c r="D135" s="412" t="s">
        <v>89</v>
      </c>
      <c r="E135" s="413" t="s">
        <v>1214</v>
      </c>
      <c r="F135" s="412" t="s">
        <v>50</v>
      </c>
      <c r="G135" s="412" t="s">
        <v>2539</v>
      </c>
      <c r="H135" s="415" t="s">
        <v>300</v>
      </c>
      <c r="I135" s="585" t="s">
        <v>66</v>
      </c>
      <c r="J135" s="585" t="s">
        <v>66</v>
      </c>
      <c r="K135" s="415" t="s">
        <v>108</v>
      </c>
      <c r="L135" s="586" t="s">
        <v>325</v>
      </c>
      <c r="M135" s="694">
        <v>29.99</v>
      </c>
      <c r="N135" s="417">
        <v>6</v>
      </c>
      <c r="O135" s="418">
        <v>36</v>
      </c>
      <c r="P135" s="624">
        <f>CONVERT(137,"g","lbm")</f>
        <v>0.30203329919328226</v>
      </c>
      <c r="Q135" s="625">
        <v>2.5</v>
      </c>
      <c r="R135" s="625">
        <v>2.5</v>
      </c>
      <c r="S135" s="631" t="s">
        <v>1633</v>
      </c>
      <c r="T135" s="419">
        <v>0.4</v>
      </c>
      <c r="U135" s="412">
        <v>7.25</v>
      </c>
      <c r="V135" s="412">
        <v>2.6749999999999998</v>
      </c>
      <c r="W135" s="420">
        <v>8.375</v>
      </c>
      <c r="X135" s="419">
        <v>2.65</v>
      </c>
      <c r="Y135" s="412">
        <v>10.75</v>
      </c>
      <c r="Z135" s="412">
        <v>8.25</v>
      </c>
      <c r="AA135" s="420">
        <v>8.6750000000000007</v>
      </c>
      <c r="AB135" s="419">
        <v>18.3</v>
      </c>
      <c r="AC135" s="412">
        <v>25.39</v>
      </c>
      <c r="AD135" s="412">
        <v>11.26</v>
      </c>
      <c r="AE135" s="420">
        <v>17.760000000000002</v>
      </c>
      <c r="AF135" s="419">
        <f t="shared" si="9"/>
        <v>2.9383282777777775</v>
      </c>
      <c r="AG135" s="421" t="s">
        <v>2710</v>
      </c>
      <c r="AH135" s="421" t="s">
        <v>1366</v>
      </c>
      <c r="AI135" s="421" t="s">
        <v>1369</v>
      </c>
      <c r="AJ135" s="421" t="s">
        <v>1367</v>
      </c>
      <c r="AK135" s="421" t="s">
        <v>1368</v>
      </c>
      <c r="AL135" s="421" t="s">
        <v>1370</v>
      </c>
      <c r="AM135" s="421" t="s">
        <v>1371</v>
      </c>
      <c r="AN135" s="587" t="s">
        <v>2700</v>
      </c>
      <c r="AO135" s="421" t="s">
        <v>1372</v>
      </c>
      <c r="AP135" s="588" t="s">
        <v>1247</v>
      </c>
      <c r="AQ135" s="587"/>
    </row>
    <row r="136" spans="1:43" s="16" customFormat="1" x14ac:dyDescent="0.25">
      <c r="A136" s="410" t="s">
        <v>152</v>
      </c>
      <c r="B136" s="411"/>
      <c r="C136" s="412" t="s">
        <v>634</v>
      </c>
      <c r="D136" s="412"/>
      <c r="E136" s="413" t="s">
        <v>1345</v>
      </c>
      <c r="F136" s="412" t="s">
        <v>50</v>
      </c>
      <c r="G136" s="412" t="s">
        <v>2539</v>
      </c>
      <c r="H136" s="589" t="s">
        <v>635</v>
      </c>
      <c r="I136" s="585" t="s">
        <v>66</v>
      </c>
      <c r="J136" s="585" t="s">
        <v>66</v>
      </c>
      <c r="K136" s="415" t="s">
        <v>108</v>
      </c>
      <c r="L136" s="586" t="s">
        <v>325</v>
      </c>
      <c r="M136" s="694">
        <v>39.99</v>
      </c>
      <c r="N136" s="417"/>
      <c r="O136" s="418"/>
      <c r="P136" s="624">
        <f>CONVERT(181,"g","lbm")</f>
        <v>0.39903669455462842</v>
      </c>
      <c r="Q136" s="625"/>
      <c r="R136" s="625"/>
      <c r="S136" s="626"/>
      <c r="T136" s="419">
        <f>9.2/16</f>
        <v>0.57499999999999996</v>
      </c>
      <c r="U136" s="412">
        <v>9.25</v>
      </c>
      <c r="V136" s="412">
        <v>2</v>
      </c>
      <c r="W136" s="420">
        <v>10.875</v>
      </c>
      <c r="X136" s="419">
        <v>5</v>
      </c>
      <c r="Y136" s="412">
        <v>10</v>
      </c>
      <c r="Z136" s="412">
        <v>8.5</v>
      </c>
      <c r="AA136" s="420">
        <v>11</v>
      </c>
      <c r="AB136" s="419"/>
      <c r="AC136" s="412"/>
      <c r="AD136" s="412"/>
      <c r="AE136" s="420"/>
      <c r="AF136" s="419">
        <f t="shared" si="9"/>
        <v>0</v>
      </c>
      <c r="AG136" s="421" t="s">
        <v>2709</v>
      </c>
      <c r="AH136" s="421" t="s">
        <v>1373</v>
      </c>
      <c r="AI136" s="421" t="s">
        <v>1374</v>
      </c>
      <c r="AJ136" s="421" t="s">
        <v>1375</v>
      </c>
      <c r="AK136" s="421" t="s">
        <v>1376</v>
      </c>
      <c r="AL136" s="421" t="s">
        <v>1377</v>
      </c>
      <c r="AM136" s="421" t="s">
        <v>1378</v>
      </c>
      <c r="AN136" s="587" t="s">
        <v>2701</v>
      </c>
      <c r="AO136" s="587"/>
      <c r="AP136" s="588" t="s">
        <v>1247</v>
      </c>
      <c r="AQ136" s="587"/>
    </row>
    <row r="137" spans="1:43" s="16" customFormat="1" ht="13.8" x14ac:dyDescent="0.3">
      <c r="A137" s="20" t="s">
        <v>152</v>
      </c>
      <c r="B137" s="141"/>
      <c r="C137" s="35" t="s">
        <v>1088</v>
      </c>
      <c r="D137" s="35"/>
      <c r="E137" s="36" t="s">
        <v>1213</v>
      </c>
      <c r="F137" s="35" t="s">
        <v>2540</v>
      </c>
      <c r="G137" s="35" t="s">
        <v>2539</v>
      </c>
      <c r="H137" s="81" t="s">
        <v>1089</v>
      </c>
      <c r="I137" s="78" t="s">
        <v>1531</v>
      </c>
      <c r="J137" s="78" t="s">
        <v>1532</v>
      </c>
      <c r="K137" s="29" t="s">
        <v>108</v>
      </c>
      <c r="L137" s="133" t="s">
        <v>325</v>
      </c>
      <c r="M137" s="691">
        <v>19.989999999999998</v>
      </c>
      <c r="N137" s="37">
        <v>6</v>
      </c>
      <c r="O137" s="228">
        <v>36</v>
      </c>
      <c r="P137" s="620">
        <f>CONVERT(90.8,"g","lbm")</f>
        <v>0.20017973406386882</v>
      </c>
      <c r="Q137" s="621">
        <v>1.875</v>
      </c>
      <c r="R137" s="621">
        <v>1.875</v>
      </c>
      <c r="S137" s="632" t="s">
        <v>1673</v>
      </c>
      <c r="T137" s="46">
        <v>0.25</v>
      </c>
      <c r="U137" s="35">
        <v>4.5</v>
      </c>
      <c r="V137" s="35">
        <v>2</v>
      </c>
      <c r="W137" s="72">
        <v>7</v>
      </c>
      <c r="X137" s="46">
        <f>42.2/16</f>
        <v>2.6375000000000002</v>
      </c>
      <c r="Y137" s="35">
        <v>7.75</v>
      </c>
      <c r="Z137" s="35">
        <v>5.25</v>
      </c>
      <c r="AA137" s="72">
        <v>6.625</v>
      </c>
      <c r="AB137" s="46">
        <f>CONVERT(9890,"g","lbm")</f>
        <v>21.803717730084394</v>
      </c>
      <c r="AC137" s="35">
        <f>CONVERT(0.42,"m","in")</f>
        <v>16.535433070866141</v>
      </c>
      <c r="AD137" s="35">
        <f>CONVERT(0.4,"m","in")</f>
        <v>15.748031496062993</v>
      </c>
      <c r="AE137" s="72">
        <f>CONVERT(0.35,"m","in")</f>
        <v>13.779527559055119</v>
      </c>
      <c r="AF137" s="44">
        <f t="shared" si="9"/>
        <v>2.0765024032235289</v>
      </c>
      <c r="AG137" s="22" t="s">
        <v>2708</v>
      </c>
      <c r="AH137" s="22" t="s">
        <v>1358</v>
      </c>
      <c r="AI137" s="22" t="s">
        <v>1359</v>
      </c>
      <c r="AJ137" s="22" t="s">
        <v>1360</v>
      </c>
      <c r="AK137" s="22" t="s">
        <v>1365</v>
      </c>
      <c r="AL137" s="22" t="s">
        <v>2689</v>
      </c>
      <c r="AM137" s="98" t="s">
        <v>2702</v>
      </c>
      <c r="AN137" s="48"/>
      <c r="AO137" s="22" t="s">
        <v>1364</v>
      </c>
      <c r="AP137" s="161" t="s">
        <v>1247</v>
      </c>
      <c r="AQ137" s="48"/>
    </row>
    <row r="138" spans="1:43" ht="13.8" x14ac:dyDescent="0.3">
      <c r="A138" s="20" t="s">
        <v>152</v>
      </c>
      <c r="B138" s="366"/>
      <c r="C138" s="26" t="s">
        <v>1468</v>
      </c>
      <c r="E138" s="21" t="s">
        <v>1469</v>
      </c>
      <c r="F138" s="22" t="s">
        <v>111</v>
      </c>
      <c r="G138" s="35" t="s">
        <v>2539</v>
      </c>
      <c r="H138" s="30" t="s">
        <v>1556</v>
      </c>
      <c r="I138" s="30" t="s">
        <v>1557</v>
      </c>
      <c r="J138" s="30" t="s">
        <v>1558</v>
      </c>
      <c r="K138" s="29" t="s">
        <v>108</v>
      </c>
      <c r="L138" s="58" t="s">
        <v>325</v>
      </c>
      <c r="M138" s="691">
        <v>29.99</v>
      </c>
      <c r="N138" s="39">
        <v>4</v>
      </c>
      <c r="O138" s="279">
        <v>16</v>
      </c>
      <c r="P138" s="620">
        <f>CONVERT(116.08,"g","lbm")</f>
        <v>0.2559125939442059</v>
      </c>
      <c r="Q138" s="621">
        <v>2</v>
      </c>
      <c r="R138" s="621">
        <v>2</v>
      </c>
      <c r="S138" s="632" t="s">
        <v>1673</v>
      </c>
      <c r="T138" s="46">
        <f>CONVERT(155,"g","lbm")</f>
        <v>0.34171650638656026</v>
      </c>
      <c r="U138" s="177">
        <v>4.5</v>
      </c>
      <c r="V138" s="177">
        <v>2.375</v>
      </c>
      <c r="W138" s="227">
        <v>7</v>
      </c>
      <c r="X138" s="46">
        <f>CONVERT(675,"g","lbm")</f>
        <v>1.4881202697479237</v>
      </c>
      <c r="Y138" s="177">
        <v>7.5</v>
      </c>
      <c r="Z138" s="177">
        <v>5.5</v>
      </c>
      <c r="AA138" s="227">
        <v>5</v>
      </c>
      <c r="AB138" s="46">
        <v>6.7</v>
      </c>
      <c r="AC138" s="35">
        <f>CONVERT(30,"cm","in")</f>
        <v>11.811023622047244</v>
      </c>
      <c r="AD138" s="35">
        <f>CONVERT(21,"cm","in")</f>
        <v>8.2677165354330722</v>
      </c>
      <c r="AE138" s="72">
        <f>CONVERT(27,"cm","in")</f>
        <v>10.62992125984252</v>
      </c>
      <c r="AF138" s="44">
        <f t="shared" si="9"/>
        <v>0.6007024809325211</v>
      </c>
      <c r="AG138" s="173" t="s">
        <v>2707</v>
      </c>
      <c r="AH138" s="173" t="s">
        <v>2220</v>
      </c>
      <c r="AI138" s="173" t="s">
        <v>2228</v>
      </c>
      <c r="AJ138" s="173" t="s">
        <v>952</v>
      </c>
      <c r="AK138" s="22" t="s">
        <v>2229</v>
      </c>
      <c r="AL138" s="106" t="s">
        <v>2230</v>
      </c>
      <c r="AM138" s="22" t="s">
        <v>2225</v>
      </c>
      <c r="AN138" s="48" t="s">
        <v>2703</v>
      </c>
      <c r="AO138" s="39" t="s">
        <v>2231</v>
      </c>
      <c r="AP138" s="161" t="s">
        <v>1247</v>
      </c>
      <c r="AQ138" s="48"/>
    </row>
    <row r="139" spans="1:43" s="16" customFormat="1" ht="13.8" x14ac:dyDescent="0.3">
      <c r="A139" s="20" t="s">
        <v>152</v>
      </c>
      <c r="B139" s="141"/>
      <c r="C139" s="20" t="s">
        <v>918</v>
      </c>
      <c r="D139" s="35"/>
      <c r="E139" s="21" t="s">
        <v>2712</v>
      </c>
      <c r="F139" s="17" t="s">
        <v>50</v>
      </c>
      <c r="G139" s="35" t="s">
        <v>2539</v>
      </c>
      <c r="H139" s="81" t="s">
        <v>919</v>
      </c>
      <c r="I139" s="78" t="s">
        <v>2262</v>
      </c>
      <c r="J139" s="78" t="s">
        <v>2263</v>
      </c>
      <c r="K139" s="29" t="s">
        <v>108</v>
      </c>
      <c r="L139" s="133" t="s">
        <v>325</v>
      </c>
      <c r="M139" s="691">
        <v>49.99</v>
      </c>
      <c r="N139" s="39">
        <v>4</v>
      </c>
      <c r="O139" s="279">
        <v>16</v>
      </c>
      <c r="P139" s="620">
        <f>CONVERT(128,"g","lbm")</f>
        <v>0.28219169559664331</v>
      </c>
      <c r="Q139" s="621">
        <v>1.7</v>
      </c>
      <c r="R139" s="621">
        <v>1.7</v>
      </c>
      <c r="S139" s="622" t="s">
        <v>1634</v>
      </c>
      <c r="T139" s="46">
        <f>CONVERT(160,"g","lbm")</f>
        <v>0.35273961949580412</v>
      </c>
      <c r="U139" s="35">
        <v>4.5</v>
      </c>
      <c r="V139" s="35">
        <v>2.375</v>
      </c>
      <c r="W139" s="72">
        <v>7</v>
      </c>
      <c r="X139" s="46">
        <f>CONVERT(690,"g","lbm")</f>
        <v>1.5211896090756551</v>
      </c>
      <c r="Y139" s="35">
        <v>7.75</v>
      </c>
      <c r="Z139" s="35">
        <v>5.625</v>
      </c>
      <c r="AA139" s="72">
        <v>5</v>
      </c>
      <c r="AB139" s="46">
        <v>6.85</v>
      </c>
      <c r="AC139" s="35">
        <v>11.75</v>
      </c>
      <c r="AD139" s="35">
        <v>8.5</v>
      </c>
      <c r="AE139" s="72">
        <v>10.75</v>
      </c>
      <c r="AF139" s="44">
        <f t="shared" si="9"/>
        <v>0.62132884837962965</v>
      </c>
      <c r="AG139" s="173" t="s">
        <v>2707</v>
      </c>
      <c r="AH139" s="173" t="s">
        <v>2221</v>
      </c>
      <c r="AI139" s="173" t="s">
        <v>1406</v>
      </c>
      <c r="AJ139" s="173" t="s">
        <v>952</v>
      </c>
      <c r="AK139" s="22" t="s">
        <v>1407</v>
      </c>
      <c r="AL139" s="106" t="s">
        <v>1409</v>
      </c>
      <c r="AM139" s="22" t="s">
        <v>2225</v>
      </c>
      <c r="AN139" s="48" t="s">
        <v>2704</v>
      </c>
      <c r="AO139" s="48" t="s">
        <v>1408</v>
      </c>
      <c r="AP139" s="161" t="s">
        <v>1247</v>
      </c>
      <c r="AQ139" s="48"/>
    </row>
    <row r="140" spans="1:43" s="16" customFormat="1" x14ac:dyDescent="0.25">
      <c r="A140" s="410" t="s">
        <v>152</v>
      </c>
      <c r="B140" s="411"/>
      <c r="C140" s="412" t="s">
        <v>396</v>
      </c>
      <c r="D140" s="412"/>
      <c r="E140" s="413" t="s">
        <v>1215</v>
      </c>
      <c r="F140" s="410" t="s">
        <v>54</v>
      </c>
      <c r="G140" s="410" t="s">
        <v>1518</v>
      </c>
      <c r="H140" s="425" t="s">
        <v>397</v>
      </c>
      <c r="I140" s="585" t="s">
        <v>66</v>
      </c>
      <c r="J140" s="585" t="s">
        <v>66</v>
      </c>
      <c r="K140" s="415" t="s">
        <v>108</v>
      </c>
      <c r="L140" s="586" t="s">
        <v>325</v>
      </c>
      <c r="M140" s="694">
        <v>59.99</v>
      </c>
      <c r="N140" s="417">
        <v>6</v>
      </c>
      <c r="O140" s="418">
        <v>24</v>
      </c>
      <c r="P140" s="624">
        <f>CONVERT(241,"g","lbm")</f>
        <v>0.53131405186555491</v>
      </c>
      <c r="Q140" s="625">
        <v>2.5</v>
      </c>
      <c r="R140" s="625">
        <v>2.5</v>
      </c>
      <c r="S140" s="631" t="s">
        <v>1635</v>
      </c>
      <c r="T140" s="419">
        <v>0.83699999999999997</v>
      </c>
      <c r="U140" s="412">
        <v>5</v>
      </c>
      <c r="V140" s="412">
        <v>2.75</v>
      </c>
      <c r="W140" s="420">
        <v>9</v>
      </c>
      <c r="X140" s="419">
        <v>5.4</v>
      </c>
      <c r="Y140" s="412">
        <v>10.25</v>
      </c>
      <c r="Z140" s="412">
        <v>8.5</v>
      </c>
      <c r="AA140" s="420">
        <v>8.25</v>
      </c>
      <c r="AB140" s="419">
        <f>CONVERT(10900,"g","lbm")</f>
        <v>24.030386578151656</v>
      </c>
      <c r="AC140" s="412">
        <f>CONVERT(0.535,"m","in")</f>
        <v>21.062992125984252</v>
      </c>
      <c r="AD140" s="412">
        <f>CONVERT(0.45,"m","in")</f>
        <v>17.716535433070867</v>
      </c>
      <c r="AE140" s="420">
        <f>CONVERT(0.22,"m","in")</f>
        <v>8.6614173228346463</v>
      </c>
      <c r="AF140" s="419">
        <f t="shared" si="9"/>
        <v>1.8704413229036432</v>
      </c>
      <c r="AG140" s="421" t="s">
        <v>2706</v>
      </c>
      <c r="AH140" s="588" t="s">
        <v>2222</v>
      </c>
      <c r="AI140" s="587" t="s">
        <v>1410</v>
      </c>
      <c r="AJ140" s="421" t="s">
        <v>1411</v>
      </c>
      <c r="AK140" s="421" t="s">
        <v>1412</v>
      </c>
      <c r="AL140" s="590" t="s">
        <v>1413</v>
      </c>
      <c r="AM140" s="421" t="s">
        <v>2226</v>
      </c>
      <c r="AN140" s="587" t="s">
        <v>2705</v>
      </c>
      <c r="AO140" s="421" t="s">
        <v>1414</v>
      </c>
      <c r="AP140" s="588" t="s">
        <v>1247</v>
      </c>
      <c r="AQ140" s="587"/>
    </row>
    <row r="141" spans="1:43" s="16" customFormat="1" x14ac:dyDescent="0.25">
      <c r="A141" s="410" t="s">
        <v>152</v>
      </c>
      <c r="B141" s="411"/>
      <c r="C141" s="412" t="s">
        <v>826</v>
      </c>
      <c r="D141" s="412"/>
      <c r="E141" s="413" t="s">
        <v>1219</v>
      </c>
      <c r="F141" s="410" t="s">
        <v>54</v>
      </c>
      <c r="G141" s="410" t="s">
        <v>1518</v>
      </c>
      <c r="H141" s="425" t="s">
        <v>828</v>
      </c>
      <c r="I141" s="585" t="s">
        <v>66</v>
      </c>
      <c r="J141" s="585" t="s">
        <v>66</v>
      </c>
      <c r="K141" s="415" t="s">
        <v>108</v>
      </c>
      <c r="L141" s="586" t="s">
        <v>325</v>
      </c>
      <c r="M141" s="694">
        <v>69.989999999999995</v>
      </c>
      <c r="N141" s="417">
        <v>6</v>
      </c>
      <c r="O141" s="418">
        <v>24</v>
      </c>
      <c r="P141" s="624">
        <f>12.9/16</f>
        <v>0.80625000000000002</v>
      </c>
      <c r="Q141" s="625">
        <v>2.5</v>
      </c>
      <c r="R141" s="625">
        <v>2.5</v>
      </c>
      <c r="S141" s="631" t="s">
        <v>1635</v>
      </c>
      <c r="T141" s="419">
        <v>1</v>
      </c>
      <c r="U141" s="412">
        <v>5</v>
      </c>
      <c r="V141" s="412">
        <v>2.75</v>
      </c>
      <c r="W141" s="420">
        <v>9</v>
      </c>
      <c r="X141" s="419">
        <v>6.2</v>
      </c>
      <c r="Y141" s="412">
        <v>10.25</v>
      </c>
      <c r="Z141" s="412">
        <v>8.5</v>
      </c>
      <c r="AA141" s="420">
        <v>8.25</v>
      </c>
      <c r="AB141" s="419">
        <f>CONVERT(12100,"g","lbm")</f>
        <v>26.675933724370186</v>
      </c>
      <c r="AC141" s="412">
        <f>CONVERT(0.535,"m","in")</f>
        <v>21.062992125984252</v>
      </c>
      <c r="AD141" s="412">
        <f>CONVERT(0.45,"m","in")</f>
        <v>17.716535433070867</v>
      </c>
      <c r="AE141" s="420">
        <f>CONVERT(0.22,"m","in")</f>
        <v>8.6614173228346463</v>
      </c>
      <c r="AF141" s="419">
        <f t="shared" si="9"/>
        <v>1.8704413229036432</v>
      </c>
      <c r="AG141" s="421" t="s">
        <v>2706</v>
      </c>
      <c r="AH141" s="588" t="s">
        <v>2222</v>
      </c>
      <c r="AI141" s="587" t="s">
        <v>1410</v>
      </c>
      <c r="AJ141" s="421" t="s">
        <v>1411</v>
      </c>
      <c r="AK141" s="421" t="s">
        <v>1412</v>
      </c>
      <c r="AL141" s="590" t="s">
        <v>1413</v>
      </c>
      <c r="AM141" s="421" t="s">
        <v>2227</v>
      </c>
      <c r="AN141" s="587" t="s">
        <v>2705</v>
      </c>
      <c r="AO141" s="421" t="s">
        <v>1414</v>
      </c>
      <c r="AP141" s="588" t="s">
        <v>1247</v>
      </c>
      <c r="AQ141" s="587"/>
    </row>
    <row r="142" spans="1:43" s="16" customFormat="1" x14ac:dyDescent="0.25">
      <c r="A142" s="410" t="s">
        <v>152</v>
      </c>
      <c r="B142" s="411"/>
      <c r="C142" s="412" t="s">
        <v>827</v>
      </c>
      <c r="D142" s="412"/>
      <c r="E142" s="413" t="s">
        <v>1220</v>
      </c>
      <c r="F142" s="410" t="s">
        <v>54</v>
      </c>
      <c r="G142" s="410" t="s">
        <v>1487</v>
      </c>
      <c r="H142" s="425" t="s">
        <v>828</v>
      </c>
      <c r="I142" s="585" t="s">
        <v>66</v>
      </c>
      <c r="J142" s="585" t="s">
        <v>66</v>
      </c>
      <c r="K142" s="415" t="s">
        <v>108</v>
      </c>
      <c r="L142" s="586" t="s">
        <v>325</v>
      </c>
      <c r="M142" s="694">
        <v>299.95</v>
      </c>
      <c r="N142" s="417">
        <v>1</v>
      </c>
      <c r="O142" s="418">
        <v>1</v>
      </c>
      <c r="P142" s="624">
        <f>CONVERT(241,"g","lbm")</f>
        <v>0.53131405186555491</v>
      </c>
      <c r="Q142" s="625">
        <v>2.5</v>
      </c>
      <c r="R142" s="625">
        <v>2.5</v>
      </c>
      <c r="S142" s="631" t="s">
        <v>1635</v>
      </c>
      <c r="T142" s="419">
        <v>5.65</v>
      </c>
      <c r="U142" s="412">
        <v>13.5</v>
      </c>
      <c r="V142" s="412">
        <v>6.375</v>
      </c>
      <c r="W142" s="420">
        <v>16.625</v>
      </c>
      <c r="X142" s="419" t="s">
        <v>66</v>
      </c>
      <c r="Y142" s="412" t="s">
        <v>66</v>
      </c>
      <c r="Z142" s="412" t="s">
        <v>66</v>
      </c>
      <c r="AA142" s="420" t="s">
        <v>66</v>
      </c>
      <c r="AB142" s="419">
        <v>6.75</v>
      </c>
      <c r="AC142" s="412">
        <v>14</v>
      </c>
      <c r="AD142" s="412">
        <v>9</v>
      </c>
      <c r="AE142" s="420">
        <v>8.75</v>
      </c>
      <c r="AF142" s="419">
        <f t="shared" si="9"/>
        <v>0.63802083333333337</v>
      </c>
      <c r="AG142" s="421" t="s">
        <v>2706</v>
      </c>
      <c r="AH142" s="588" t="s">
        <v>2222</v>
      </c>
      <c r="AI142" s="587" t="s">
        <v>1410</v>
      </c>
      <c r="AJ142" s="421" t="s">
        <v>1411</v>
      </c>
      <c r="AK142" s="421" t="s">
        <v>1412</v>
      </c>
      <c r="AL142" s="590" t="s">
        <v>1413</v>
      </c>
      <c r="AM142" s="421" t="s">
        <v>2226</v>
      </c>
      <c r="AN142" s="587" t="s">
        <v>2705</v>
      </c>
      <c r="AO142" s="421" t="s">
        <v>1414</v>
      </c>
      <c r="AP142" s="588" t="s">
        <v>1247</v>
      </c>
      <c r="AQ142" s="587"/>
    </row>
    <row r="143" spans="1:43" s="16" customFormat="1" x14ac:dyDescent="0.25">
      <c r="A143" s="16" t="s">
        <v>152</v>
      </c>
      <c r="B143" s="143"/>
      <c r="C143" s="35" t="s">
        <v>630</v>
      </c>
      <c r="D143" s="35"/>
      <c r="E143" s="18" t="s">
        <v>1346</v>
      </c>
      <c r="G143" s="20" t="s">
        <v>1507</v>
      </c>
      <c r="H143" s="29" t="s">
        <v>632</v>
      </c>
      <c r="I143" s="293"/>
      <c r="J143" s="293"/>
      <c r="K143" s="29" t="s">
        <v>108</v>
      </c>
      <c r="L143" s="133" t="s">
        <v>325</v>
      </c>
      <c r="M143" s="691">
        <v>5.99</v>
      </c>
      <c r="N143" s="19">
        <v>12</v>
      </c>
      <c r="O143" s="77">
        <v>72</v>
      </c>
      <c r="P143" s="620">
        <f>CONVERT(36,"g","lbm")</f>
        <v>7.9366414386555922E-2</v>
      </c>
      <c r="Q143" s="621">
        <v>9</v>
      </c>
      <c r="R143" s="621">
        <v>1</v>
      </c>
      <c r="S143" s="623">
        <v>0.875</v>
      </c>
      <c r="T143" s="46">
        <v>0.08</v>
      </c>
      <c r="U143" s="35">
        <v>2.5</v>
      </c>
      <c r="V143" s="35">
        <v>1</v>
      </c>
      <c r="W143" s="72">
        <v>10.25</v>
      </c>
      <c r="X143" s="46">
        <v>1.35</v>
      </c>
      <c r="Y143" s="35">
        <v>11.875</v>
      </c>
      <c r="Z143" s="35">
        <v>9.875</v>
      </c>
      <c r="AA143" s="72">
        <v>2.5</v>
      </c>
      <c r="AB143" s="46">
        <v>9.25</v>
      </c>
      <c r="AC143" s="35">
        <f>CONVERT(0.4,"m","in")</f>
        <v>15.748031496062993</v>
      </c>
      <c r="AD143" s="35">
        <f>CONVERT(0.31,"m","in")</f>
        <v>12.204724409448819</v>
      </c>
      <c r="AE143" s="72">
        <f>CONVERT(0.265,"m","in")</f>
        <v>10.433070866141732</v>
      </c>
      <c r="AF143" s="44">
        <f t="shared" si="9"/>
        <v>1.1604399484681149</v>
      </c>
      <c r="AG143" s="48" t="s">
        <v>1420</v>
      </c>
      <c r="AH143" s="48" t="s">
        <v>2223</v>
      </c>
      <c r="AI143" s="48" t="s">
        <v>1415</v>
      </c>
      <c r="AJ143" s="48" t="s">
        <v>1416</v>
      </c>
      <c r="AK143" s="48" t="s">
        <v>1417</v>
      </c>
      <c r="AL143" s="48" t="s">
        <v>1418</v>
      </c>
      <c r="AM143" s="48" t="s">
        <v>1422</v>
      </c>
      <c r="AN143" s="48"/>
      <c r="AO143" s="48" t="s">
        <v>1419</v>
      </c>
      <c r="AP143" s="161" t="s">
        <v>1247</v>
      </c>
      <c r="AQ143" s="48"/>
    </row>
    <row r="144" spans="1:43" s="16" customFormat="1" x14ac:dyDescent="0.25">
      <c r="A144" s="16" t="s">
        <v>152</v>
      </c>
      <c r="B144" s="143"/>
      <c r="C144" s="35" t="s">
        <v>893</v>
      </c>
      <c r="D144" s="35"/>
      <c r="E144" s="18" t="s">
        <v>1216</v>
      </c>
      <c r="G144" s="20" t="s">
        <v>1507</v>
      </c>
      <c r="H144" s="29" t="s">
        <v>892</v>
      </c>
      <c r="I144" s="38" t="s">
        <v>2244</v>
      </c>
      <c r="J144" s="38" t="s">
        <v>2245</v>
      </c>
      <c r="K144" s="29" t="s">
        <v>108</v>
      </c>
      <c r="L144" s="133" t="s">
        <v>325</v>
      </c>
      <c r="M144" s="678">
        <v>12.99</v>
      </c>
      <c r="N144" s="19">
        <v>12</v>
      </c>
      <c r="O144" s="77">
        <v>48</v>
      </c>
      <c r="P144" s="620">
        <f>CONVERT(36,"g","lbm")</f>
        <v>7.9366414386555922E-2</v>
      </c>
      <c r="Q144" s="621">
        <v>9</v>
      </c>
      <c r="R144" s="621">
        <v>1</v>
      </c>
      <c r="S144" s="623">
        <v>0.875</v>
      </c>
      <c r="T144" s="46">
        <v>0.16</v>
      </c>
      <c r="U144" s="35">
        <v>3.375</v>
      </c>
      <c r="V144" s="35">
        <v>1</v>
      </c>
      <c r="W144" s="72">
        <v>10.25</v>
      </c>
      <c r="X144" s="46">
        <f>CONVERT(900,"g","lbm")</f>
        <v>1.9841603596638981</v>
      </c>
      <c r="Y144" s="35">
        <f>CONVERT(0.26,"m","in")</f>
        <v>10.236220472440944</v>
      </c>
      <c r="Z144" s="35">
        <f>CONVERT(0.16,"m","in")</f>
        <v>6.2992125984251972</v>
      </c>
      <c r="AA144" s="72">
        <f>CONVERT(0.11,"m","in")</f>
        <v>4.3307086614173231</v>
      </c>
      <c r="AB144" s="46">
        <f>CONVERT(4200,"g","lbm")</f>
        <v>9.2594150117648581</v>
      </c>
      <c r="AC144" s="35">
        <f>CONVERT(0.35,"m","in")</f>
        <v>13.779527559055119</v>
      </c>
      <c r="AD144" s="35">
        <f>CONVERT(0.28,"m","in")</f>
        <v>11.023622047244096</v>
      </c>
      <c r="AE144" s="72">
        <f>CONVERT(0.24,"m","in")</f>
        <v>9.4488188976377945</v>
      </c>
      <c r="AF144" s="44">
        <f t="shared" si="9"/>
        <v>0.83060096128941163</v>
      </c>
      <c r="AG144" s="48" t="s">
        <v>1420</v>
      </c>
      <c r="AH144" s="48" t="s">
        <v>2223</v>
      </c>
      <c r="AI144" s="48" t="s">
        <v>1415</v>
      </c>
      <c r="AJ144" s="48" t="s">
        <v>1416</v>
      </c>
      <c r="AK144" s="48" t="s">
        <v>1417</v>
      </c>
      <c r="AL144" s="48" t="s">
        <v>1418</v>
      </c>
      <c r="AM144" s="48" t="s">
        <v>1421</v>
      </c>
      <c r="AN144" s="48"/>
      <c r="AO144" s="48" t="s">
        <v>1419</v>
      </c>
      <c r="AP144" s="161" t="s">
        <v>1247</v>
      </c>
      <c r="AQ144" s="48"/>
    </row>
    <row r="145" spans="1:43" s="16" customFormat="1" x14ac:dyDescent="0.25">
      <c r="A145" s="16" t="s">
        <v>152</v>
      </c>
      <c r="B145" s="143"/>
      <c r="C145" s="35" t="s">
        <v>631</v>
      </c>
      <c r="D145" s="35"/>
      <c r="E145" s="18" t="s">
        <v>1218</v>
      </c>
      <c r="G145" s="20" t="s">
        <v>1507</v>
      </c>
      <c r="H145" s="29" t="s">
        <v>633</v>
      </c>
      <c r="I145" s="38" t="s">
        <v>2246</v>
      </c>
      <c r="J145" s="38" t="s">
        <v>2247</v>
      </c>
      <c r="K145" s="29" t="s">
        <v>108</v>
      </c>
      <c r="L145" s="133" t="s">
        <v>325</v>
      </c>
      <c r="M145" s="691">
        <v>19.989999999999998</v>
      </c>
      <c r="N145" s="19">
        <v>6</v>
      </c>
      <c r="O145" s="77">
        <v>36</v>
      </c>
      <c r="P145" s="620">
        <f>CONVERT(36,"g","lbm")</f>
        <v>7.9366414386555922E-2</v>
      </c>
      <c r="Q145" s="621">
        <v>9</v>
      </c>
      <c r="R145" s="621">
        <v>1</v>
      </c>
      <c r="S145" s="623">
        <v>0.875</v>
      </c>
      <c r="T145" s="46">
        <v>0.32</v>
      </c>
      <c r="U145" s="35">
        <v>4.5</v>
      </c>
      <c r="V145" s="35">
        <v>1</v>
      </c>
      <c r="W145" s="72">
        <v>10.625</v>
      </c>
      <c r="X145" s="46">
        <f>CONVERT(900,"g","lbm")</f>
        <v>1.9841603596638981</v>
      </c>
      <c r="Y145" s="35">
        <f>CONVERT(0.29,"m","in")</f>
        <v>11.417322834645669</v>
      </c>
      <c r="Z145" s="35">
        <f>CONVERT(0.11,"m","in")</f>
        <v>4.3307086614173231</v>
      </c>
      <c r="AA145" s="72">
        <f>CONVERT(0.11,"m","in")</f>
        <v>4.3307086614173231</v>
      </c>
      <c r="AB145" s="46">
        <f>CONVERT(6000,"g","lbm")</f>
        <v>13.227735731092654</v>
      </c>
      <c r="AC145" s="35">
        <f>CONVERT(0.39,"m","in")</f>
        <v>15.354330708661417</v>
      </c>
      <c r="AD145" s="35">
        <f>CONVERT(0.29,"m","in")</f>
        <v>11.417322834645669</v>
      </c>
      <c r="AE145" s="72">
        <f>CONVERT(0.24,"m","in")</f>
        <v>9.4488188976377945</v>
      </c>
      <c r="AF145" s="44">
        <f t="shared" si="9"/>
        <v>0.95858131348808606</v>
      </c>
      <c r="AG145" s="48" t="s">
        <v>1420</v>
      </c>
      <c r="AH145" s="48" t="s">
        <v>2223</v>
      </c>
      <c r="AI145" s="48" t="s">
        <v>1415</v>
      </c>
      <c r="AJ145" s="48" t="s">
        <v>1416</v>
      </c>
      <c r="AK145" s="48" t="s">
        <v>1417</v>
      </c>
      <c r="AL145" s="48" t="s">
        <v>1418</v>
      </c>
      <c r="AM145" s="48" t="s">
        <v>1421</v>
      </c>
      <c r="AN145" s="48"/>
      <c r="AO145" s="48" t="s">
        <v>1419</v>
      </c>
      <c r="AP145" s="161" t="s">
        <v>1247</v>
      </c>
      <c r="AQ145" s="48"/>
    </row>
    <row r="146" spans="1:43" s="16" customFormat="1" x14ac:dyDescent="0.25">
      <c r="A146" s="16" t="s">
        <v>152</v>
      </c>
      <c r="B146" s="143"/>
      <c r="C146" s="35" t="s">
        <v>901</v>
      </c>
      <c r="D146" s="35"/>
      <c r="E146" s="18" t="s">
        <v>1217</v>
      </c>
      <c r="G146" s="20" t="s">
        <v>1507</v>
      </c>
      <c r="H146" s="29" t="s">
        <v>902</v>
      </c>
      <c r="I146" s="38" t="s">
        <v>2248</v>
      </c>
      <c r="J146" s="38" t="s">
        <v>2249</v>
      </c>
      <c r="K146" s="29" t="s">
        <v>108</v>
      </c>
      <c r="L146" s="133" t="s">
        <v>325</v>
      </c>
      <c r="M146" s="691">
        <v>14.99</v>
      </c>
      <c r="N146" s="19">
        <v>12</v>
      </c>
      <c r="O146" s="77">
        <v>48</v>
      </c>
      <c r="P146" s="620">
        <f>CONVERT(36,"g","lbm")</f>
        <v>7.9366414386555922E-2</v>
      </c>
      <c r="Q146" s="621">
        <v>9</v>
      </c>
      <c r="R146" s="621">
        <v>1</v>
      </c>
      <c r="S146" s="623">
        <v>0.875</v>
      </c>
      <c r="T146" s="46">
        <v>0.16</v>
      </c>
      <c r="U146" s="35">
        <v>3.375</v>
      </c>
      <c r="V146" s="35">
        <v>1</v>
      </c>
      <c r="W146" s="72">
        <v>10.25</v>
      </c>
      <c r="X146" s="46">
        <f>CONVERT(900,"g","lbm")</f>
        <v>1.9841603596638981</v>
      </c>
      <c r="Y146" s="35">
        <f>CONVERT(0.26,"m","in")</f>
        <v>10.236220472440944</v>
      </c>
      <c r="Z146" s="35">
        <f>CONVERT(0.16,"m","in")</f>
        <v>6.2992125984251972</v>
      </c>
      <c r="AA146" s="72">
        <f>CONVERT(0.11,"m","in")</f>
        <v>4.3307086614173231</v>
      </c>
      <c r="AB146" s="46">
        <f>CONVERT(4200,"g","lbm")</f>
        <v>9.2594150117648581</v>
      </c>
      <c r="AC146" s="35">
        <f>CONVERT(0.35,"m","in")</f>
        <v>13.779527559055119</v>
      </c>
      <c r="AD146" s="35">
        <f>CONVERT(0.28,"m","in")</f>
        <v>11.023622047244096</v>
      </c>
      <c r="AE146" s="72">
        <f>CONVERT(0.24,"m","in")</f>
        <v>9.4488188976377945</v>
      </c>
      <c r="AF146" s="44">
        <f t="shared" si="9"/>
        <v>0.83060096128941163</v>
      </c>
      <c r="AG146" s="16" t="s">
        <v>1423</v>
      </c>
      <c r="AH146" s="139" t="s">
        <v>2224</v>
      </c>
      <c r="AI146" s="48" t="s">
        <v>1416</v>
      </c>
      <c r="AJ146" s="48" t="s">
        <v>1417</v>
      </c>
      <c r="AK146" s="48" t="s">
        <v>1418</v>
      </c>
      <c r="AL146" s="16" t="s">
        <v>1424</v>
      </c>
      <c r="AM146" s="48" t="s">
        <v>1421</v>
      </c>
      <c r="AO146" s="16" t="s">
        <v>1425</v>
      </c>
      <c r="AP146" s="161" t="s">
        <v>1247</v>
      </c>
      <c r="AQ146" s="48"/>
    </row>
    <row r="147" spans="1:43" s="16" customFormat="1" x14ac:dyDescent="0.25">
      <c r="C147" s="17"/>
      <c r="D147" s="17"/>
      <c r="E147" s="18"/>
      <c r="H147" s="29"/>
      <c r="I147" s="29"/>
      <c r="J147" s="29"/>
      <c r="K147" s="22"/>
      <c r="L147" s="133"/>
      <c r="M147" s="691"/>
      <c r="N147" s="19"/>
      <c r="O147" s="77"/>
      <c r="P147" s="620"/>
      <c r="Q147" s="621"/>
      <c r="R147" s="621"/>
      <c r="S147" s="617"/>
      <c r="T147" s="44"/>
      <c r="U147" s="17"/>
      <c r="V147" s="17"/>
      <c r="W147" s="45"/>
      <c r="X147" s="46"/>
      <c r="Y147" s="35"/>
      <c r="Z147" s="35"/>
      <c r="AA147" s="72"/>
      <c r="AB147" s="44"/>
      <c r="AC147" s="17"/>
      <c r="AD147" s="17"/>
      <c r="AE147" s="45"/>
      <c r="AF147" s="44"/>
      <c r="AG147" s="48"/>
      <c r="AH147" s="48"/>
      <c r="AI147" s="48"/>
      <c r="AJ147" s="48"/>
      <c r="AK147" s="48"/>
      <c r="AL147" s="48"/>
      <c r="AM147" s="48"/>
      <c r="AN147" s="48"/>
      <c r="AO147" s="48"/>
      <c r="AP147" s="48"/>
      <c r="AQ147" s="48"/>
    </row>
    <row r="148" spans="1:43" s="16" customFormat="1" ht="15.6" x14ac:dyDescent="0.3">
      <c r="A148" s="799" t="s">
        <v>1222</v>
      </c>
      <c r="B148" s="799"/>
      <c r="C148" s="799"/>
      <c r="D148" s="24"/>
      <c r="E148" s="21"/>
      <c r="H148" s="31"/>
      <c r="I148" s="31"/>
      <c r="J148" s="31"/>
      <c r="K148" s="31"/>
      <c r="L148" s="133"/>
      <c r="M148" s="691"/>
      <c r="N148" s="19"/>
      <c r="O148" s="77"/>
      <c r="P148" s="620"/>
      <c r="Q148" s="621"/>
      <c r="R148" s="621"/>
      <c r="S148" s="623"/>
      <c r="T148" s="44"/>
      <c r="U148" s="17"/>
      <c r="V148" s="17"/>
      <c r="W148" s="45"/>
      <c r="X148" s="44"/>
      <c r="Y148" s="17"/>
      <c r="Z148" s="17"/>
      <c r="AA148" s="45"/>
      <c r="AB148" s="44"/>
      <c r="AC148" s="17"/>
      <c r="AD148" s="17"/>
      <c r="AE148" s="45"/>
      <c r="AF148" s="44"/>
      <c r="AG148" s="161"/>
      <c r="AH148" s="161"/>
      <c r="AI148" s="173"/>
      <c r="AJ148" s="173"/>
      <c r="AK148" s="174"/>
      <c r="AL148" s="174"/>
      <c r="AM148" s="48"/>
      <c r="AN148" s="159"/>
      <c r="AO148" s="48"/>
      <c r="AP148" s="48"/>
      <c r="AQ148" s="48"/>
    </row>
    <row r="149" spans="1:43" s="16" customFormat="1" x14ac:dyDescent="0.25">
      <c r="A149" s="16" t="s">
        <v>152</v>
      </c>
      <c r="B149" s="141"/>
      <c r="C149" s="21" t="s">
        <v>1229</v>
      </c>
      <c r="D149" s="21" t="s">
        <v>95</v>
      </c>
      <c r="E149" s="21" t="s">
        <v>1347</v>
      </c>
      <c r="F149" s="16" t="s">
        <v>111</v>
      </c>
      <c r="G149" s="20" t="s">
        <v>2539</v>
      </c>
      <c r="H149" s="31" t="s">
        <v>1235</v>
      </c>
      <c r="I149" s="30" t="s">
        <v>1505</v>
      </c>
      <c r="J149" s="30" t="s">
        <v>1506</v>
      </c>
      <c r="K149" s="29" t="s">
        <v>108</v>
      </c>
      <c r="L149" s="133" t="s">
        <v>325</v>
      </c>
      <c r="M149" s="691">
        <v>29.99</v>
      </c>
      <c r="N149" s="37">
        <v>3</v>
      </c>
      <c r="O149" s="77">
        <v>24</v>
      </c>
      <c r="P149" s="620">
        <f>1.6/16</f>
        <v>0.1</v>
      </c>
      <c r="Q149" s="633" t="s">
        <v>1667</v>
      </c>
      <c r="R149" s="633" t="s">
        <v>1666</v>
      </c>
      <c r="S149" s="623"/>
      <c r="T149" s="46">
        <v>0.15</v>
      </c>
      <c r="U149" s="35">
        <v>7</v>
      </c>
      <c r="V149" s="35">
        <v>2</v>
      </c>
      <c r="W149" s="72">
        <v>3.75</v>
      </c>
      <c r="X149" s="46">
        <f>10.8/16</f>
        <v>0.67500000000000004</v>
      </c>
      <c r="Y149" s="35">
        <v>7.375</v>
      </c>
      <c r="Z149" s="35">
        <v>6</v>
      </c>
      <c r="AA149" s="72">
        <v>4.125</v>
      </c>
      <c r="AB149" s="46">
        <f>CONVERT(2860,"g","lbm")</f>
        <v>6.3052206984874983</v>
      </c>
      <c r="AC149" s="35">
        <f t="shared" ref="AC149:AC154" si="10">CONVERT(0.395,"m","in")</f>
        <v>15.551181102362206</v>
      </c>
      <c r="AD149" s="35">
        <f>CONVERT(0.318,"m","in")</f>
        <v>12.51968503937008</v>
      </c>
      <c r="AE149" s="72">
        <f t="shared" ref="AE149:AE154" si="11">CONVERT(0.235,"m","in")</f>
        <v>9.2519685039370074</v>
      </c>
      <c r="AF149" s="44">
        <f t="shared" ref="AF149:AF159" si="12">AC149*AD149*AE149/(12^3)</f>
        <v>1.0424306924182529</v>
      </c>
      <c r="AG149" s="179" t="s">
        <v>1426</v>
      </c>
      <c r="AH149" s="179" t="s">
        <v>1454</v>
      </c>
      <c r="AI149" s="179" t="s">
        <v>1455</v>
      </c>
      <c r="AJ149" s="179" t="s">
        <v>1501</v>
      </c>
      <c r="AK149" s="179" t="s">
        <v>1427</v>
      </c>
      <c r="AL149" s="98" t="s">
        <v>2694</v>
      </c>
      <c r="AN149" s="159"/>
      <c r="AO149" s="48" t="s">
        <v>1502</v>
      </c>
      <c r="AP149" s="161" t="s">
        <v>1247</v>
      </c>
      <c r="AQ149" s="48"/>
    </row>
    <row r="150" spans="1:43" s="16" customFormat="1" x14ac:dyDescent="0.25">
      <c r="A150" s="16" t="s">
        <v>152</v>
      </c>
      <c r="B150" s="141"/>
      <c r="C150" s="21" t="s">
        <v>1229</v>
      </c>
      <c r="D150" s="21" t="s">
        <v>1231</v>
      </c>
      <c r="E150" s="21" t="s">
        <v>1347</v>
      </c>
      <c r="F150" s="16" t="s">
        <v>1233</v>
      </c>
      <c r="G150" s="20" t="s">
        <v>2539</v>
      </c>
      <c r="H150" s="31" t="s">
        <v>1236</v>
      </c>
      <c r="I150" s="30" t="s">
        <v>1508</v>
      </c>
      <c r="J150" s="30" t="s">
        <v>1509</v>
      </c>
      <c r="K150" s="29" t="s">
        <v>108</v>
      </c>
      <c r="L150" s="133" t="s">
        <v>325</v>
      </c>
      <c r="M150" s="691">
        <v>29.99</v>
      </c>
      <c r="N150" s="37">
        <v>3</v>
      </c>
      <c r="O150" s="77">
        <v>24</v>
      </c>
      <c r="P150" s="620">
        <f>1.6/16</f>
        <v>0.1</v>
      </c>
      <c r="Q150" s="633" t="s">
        <v>1667</v>
      </c>
      <c r="R150" s="633" t="s">
        <v>1666</v>
      </c>
      <c r="S150" s="623"/>
      <c r="T150" s="46">
        <v>0.15</v>
      </c>
      <c r="U150" s="35">
        <v>7</v>
      </c>
      <c r="V150" s="35">
        <v>2</v>
      </c>
      <c r="W150" s="72">
        <v>3.75</v>
      </c>
      <c r="X150" s="46">
        <f>10.8/16</f>
        <v>0.67500000000000004</v>
      </c>
      <c r="Y150" s="35">
        <v>7.375</v>
      </c>
      <c r="Z150" s="35">
        <v>6</v>
      </c>
      <c r="AA150" s="72">
        <v>4.125</v>
      </c>
      <c r="AB150" s="46">
        <f>CONVERT(2860,"g","lbm")</f>
        <v>6.3052206984874983</v>
      </c>
      <c r="AC150" s="35">
        <f t="shared" si="10"/>
        <v>15.551181102362206</v>
      </c>
      <c r="AD150" s="35">
        <f>CONVERT(0.318,"m","in")</f>
        <v>12.51968503937008</v>
      </c>
      <c r="AE150" s="72">
        <f t="shared" si="11"/>
        <v>9.2519685039370074</v>
      </c>
      <c r="AF150" s="44">
        <f t="shared" si="12"/>
        <v>1.0424306924182529</v>
      </c>
      <c r="AG150" s="179" t="s">
        <v>1426</v>
      </c>
      <c r="AH150" s="179" t="s">
        <v>1454</v>
      </c>
      <c r="AI150" s="179" t="s">
        <v>1455</v>
      </c>
      <c r="AJ150" s="179" t="s">
        <v>1501</v>
      </c>
      <c r="AK150" s="179" t="s">
        <v>1427</v>
      </c>
      <c r="AL150" s="98" t="s">
        <v>2694</v>
      </c>
      <c r="AN150" s="159"/>
      <c r="AO150" s="48" t="s">
        <v>1502</v>
      </c>
      <c r="AP150" s="161" t="s">
        <v>1247</v>
      </c>
      <c r="AQ150" s="48"/>
    </row>
    <row r="151" spans="1:43" s="16" customFormat="1" x14ac:dyDescent="0.25">
      <c r="A151" s="16" t="s">
        <v>152</v>
      </c>
      <c r="B151" s="141"/>
      <c r="C151" s="21" t="s">
        <v>1229</v>
      </c>
      <c r="D151" s="21" t="s">
        <v>1232</v>
      </c>
      <c r="E151" s="21" t="s">
        <v>1347</v>
      </c>
      <c r="F151" s="16" t="s">
        <v>1234</v>
      </c>
      <c r="G151" s="20" t="s">
        <v>2539</v>
      </c>
      <c r="H151" s="31" t="s">
        <v>1237</v>
      </c>
      <c r="I151" s="30" t="s">
        <v>1565</v>
      </c>
      <c r="J151" s="30" t="s">
        <v>1510</v>
      </c>
      <c r="K151" s="29" t="s">
        <v>108</v>
      </c>
      <c r="L151" s="133" t="s">
        <v>325</v>
      </c>
      <c r="M151" s="691">
        <v>29.99</v>
      </c>
      <c r="N151" s="37">
        <v>3</v>
      </c>
      <c r="O151" s="77">
        <v>24</v>
      </c>
      <c r="P151" s="620">
        <f>1.6/16</f>
        <v>0.1</v>
      </c>
      <c r="Q151" s="633" t="s">
        <v>1667</v>
      </c>
      <c r="R151" s="633" t="s">
        <v>1666</v>
      </c>
      <c r="S151" s="623"/>
      <c r="T151" s="46">
        <v>0.15</v>
      </c>
      <c r="U151" s="35">
        <v>7</v>
      </c>
      <c r="V151" s="35">
        <v>2</v>
      </c>
      <c r="W151" s="72">
        <v>3.75</v>
      </c>
      <c r="X151" s="46">
        <f>10.8/16</f>
        <v>0.67500000000000004</v>
      </c>
      <c r="Y151" s="35">
        <v>7.375</v>
      </c>
      <c r="Z151" s="35">
        <v>6</v>
      </c>
      <c r="AA151" s="72">
        <v>4.125</v>
      </c>
      <c r="AB151" s="46">
        <f>CONVERT(2860,"g","lbm")</f>
        <v>6.3052206984874983</v>
      </c>
      <c r="AC151" s="35">
        <f t="shared" si="10"/>
        <v>15.551181102362206</v>
      </c>
      <c r="AD151" s="35">
        <f>CONVERT(0.318,"m","in")</f>
        <v>12.51968503937008</v>
      </c>
      <c r="AE151" s="72">
        <f t="shared" si="11"/>
        <v>9.2519685039370074</v>
      </c>
      <c r="AF151" s="44">
        <f t="shared" si="12"/>
        <v>1.0424306924182529</v>
      </c>
      <c r="AG151" s="179" t="s">
        <v>1426</v>
      </c>
      <c r="AH151" s="179" t="s">
        <v>1454</v>
      </c>
      <c r="AI151" s="179" t="s">
        <v>1455</v>
      </c>
      <c r="AJ151" s="179" t="s">
        <v>1501</v>
      </c>
      <c r="AK151" s="179" t="s">
        <v>1427</v>
      </c>
      <c r="AL151" s="98" t="s">
        <v>2694</v>
      </c>
      <c r="AN151" s="159"/>
      <c r="AO151" s="48" t="s">
        <v>1502</v>
      </c>
      <c r="AP151" s="161" t="s">
        <v>1247</v>
      </c>
      <c r="AQ151" s="48"/>
    </row>
    <row r="152" spans="1:43" s="16" customFormat="1" x14ac:dyDescent="0.25">
      <c r="A152" s="16" t="s">
        <v>152</v>
      </c>
      <c r="B152" s="141"/>
      <c r="C152" s="21" t="s">
        <v>1230</v>
      </c>
      <c r="D152" s="21" t="s">
        <v>1238</v>
      </c>
      <c r="E152" s="21" t="s">
        <v>1348</v>
      </c>
      <c r="F152" s="16" t="s">
        <v>1241</v>
      </c>
      <c r="G152" s="20" t="s">
        <v>2539</v>
      </c>
      <c r="H152" s="31" t="s">
        <v>1244</v>
      </c>
      <c r="I152" s="30" t="s">
        <v>1511</v>
      </c>
      <c r="J152" s="30" t="s">
        <v>1512</v>
      </c>
      <c r="K152" s="29" t="s">
        <v>108</v>
      </c>
      <c r="L152" s="133" t="s">
        <v>325</v>
      </c>
      <c r="M152" s="691">
        <v>39.99</v>
      </c>
      <c r="N152" s="37">
        <v>3</v>
      </c>
      <c r="O152" s="77">
        <v>24</v>
      </c>
      <c r="P152" s="620">
        <f>3.7/16</f>
        <v>0.23125000000000001</v>
      </c>
      <c r="Q152" s="633" t="s">
        <v>1667</v>
      </c>
      <c r="R152" s="633" t="s">
        <v>1666</v>
      </c>
      <c r="S152" s="623"/>
      <c r="T152" s="46">
        <v>0.3</v>
      </c>
      <c r="U152" s="35">
        <v>7.0625</v>
      </c>
      <c r="V152" s="35">
        <v>2.75</v>
      </c>
      <c r="W152" s="72">
        <v>3.75</v>
      </c>
      <c r="X152" s="46">
        <f>16.8/16</f>
        <v>1.05</v>
      </c>
      <c r="Y152" s="35">
        <v>7.375</v>
      </c>
      <c r="Z152" s="35">
        <v>7.25</v>
      </c>
      <c r="AA152" s="72">
        <v>4.25</v>
      </c>
      <c r="AB152" s="46">
        <f>CONVERT(4080,"g","lbm")</f>
        <v>8.9948602971430045</v>
      </c>
      <c r="AC152" s="35">
        <f t="shared" si="10"/>
        <v>15.551181102362206</v>
      </c>
      <c r="AD152" s="35">
        <f>CONVERT(0.378,"m","in")</f>
        <v>14.881889763779528</v>
      </c>
      <c r="AE152" s="72">
        <f t="shared" si="11"/>
        <v>9.2519685039370074</v>
      </c>
      <c r="AF152" s="44">
        <f t="shared" si="12"/>
        <v>1.2391157287235832</v>
      </c>
      <c r="AG152" s="179" t="s">
        <v>1426</v>
      </c>
      <c r="AH152" s="179" t="s">
        <v>1454</v>
      </c>
      <c r="AI152" s="179" t="s">
        <v>1455</v>
      </c>
      <c r="AJ152" s="180" t="s">
        <v>1428</v>
      </c>
      <c r="AK152" s="175" t="s">
        <v>1456</v>
      </c>
      <c r="AL152" s="175" t="s">
        <v>1429</v>
      </c>
      <c r="AM152" s="98" t="s">
        <v>1984</v>
      </c>
      <c r="AN152" s="159"/>
      <c r="AO152" s="48" t="s">
        <v>1430</v>
      </c>
      <c r="AP152" s="161" t="s">
        <v>1247</v>
      </c>
      <c r="AQ152" s="48"/>
    </row>
    <row r="153" spans="1:43" s="16" customFormat="1" x14ac:dyDescent="0.25">
      <c r="A153" s="16" t="s">
        <v>152</v>
      </c>
      <c r="B153" s="141"/>
      <c r="C153" s="21" t="s">
        <v>1230</v>
      </c>
      <c r="D153" s="21" t="s">
        <v>1239</v>
      </c>
      <c r="E153" s="21" t="s">
        <v>1348</v>
      </c>
      <c r="F153" s="16" t="s">
        <v>1242</v>
      </c>
      <c r="G153" s="20" t="s">
        <v>2539</v>
      </c>
      <c r="H153" s="31" t="s">
        <v>1245</v>
      </c>
      <c r="I153" s="30" t="s">
        <v>1513</v>
      </c>
      <c r="J153" s="30" t="s">
        <v>1515</v>
      </c>
      <c r="K153" s="29" t="s">
        <v>108</v>
      </c>
      <c r="L153" s="133" t="s">
        <v>325</v>
      </c>
      <c r="M153" s="691">
        <v>39.99</v>
      </c>
      <c r="N153" s="37">
        <v>3</v>
      </c>
      <c r="O153" s="77">
        <v>24</v>
      </c>
      <c r="P153" s="620">
        <f>3.7/16</f>
        <v>0.23125000000000001</v>
      </c>
      <c r="Q153" s="633" t="s">
        <v>1667</v>
      </c>
      <c r="R153" s="633" t="s">
        <v>1666</v>
      </c>
      <c r="S153" s="623"/>
      <c r="T153" s="46">
        <v>0.3</v>
      </c>
      <c r="U153" s="35">
        <v>7.0625</v>
      </c>
      <c r="V153" s="35">
        <v>2.75</v>
      </c>
      <c r="W153" s="72">
        <v>3.75</v>
      </c>
      <c r="X153" s="46">
        <f>16.8/16</f>
        <v>1.05</v>
      </c>
      <c r="Y153" s="35">
        <v>7.375</v>
      </c>
      <c r="Z153" s="35">
        <v>7.25</v>
      </c>
      <c r="AA153" s="72">
        <v>4.25</v>
      </c>
      <c r="AB153" s="46">
        <f>CONVERT(4080,"g","lbm")</f>
        <v>8.9948602971430045</v>
      </c>
      <c r="AC153" s="35">
        <f t="shared" si="10"/>
        <v>15.551181102362206</v>
      </c>
      <c r="AD153" s="35">
        <f>CONVERT(0.378,"m","in")</f>
        <v>14.881889763779528</v>
      </c>
      <c r="AE153" s="72">
        <f t="shared" si="11"/>
        <v>9.2519685039370074</v>
      </c>
      <c r="AF153" s="44">
        <f t="shared" si="12"/>
        <v>1.2391157287235832</v>
      </c>
      <c r="AG153" s="179" t="s">
        <v>1426</v>
      </c>
      <c r="AH153" s="179" t="s">
        <v>1454</v>
      </c>
      <c r="AI153" s="179" t="s">
        <v>1455</v>
      </c>
      <c r="AJ153" s="180" t="s">
        <v>1428</v>
      </c>
      <c r="AK153" s="175" t="s">
        <v>1456</v>
      </c>
      <c r="AL153" s="175" t="s">
        <v>1429</v>
      </c>
      <c r="AM153" s="98" t="s">
        <v>1984</v>
      </c>
      <c r="AN153" s="159"/>
      <c r="AO153" s="48" t="s">
        <v>1430</v>
      </c>
      <c r="AP153" s="161" t="s">
        <v>1247</v>
      </c>
      <c r="AQ153" s="48"/>
    </row>
    <row r="154" spans="1:43" s="16" customFormat="1" x14ac:dyDescent="0.25">
      <c r="A154" s="16" t="s">
        <v>152</v>
      </c>
      <c r="B154" s="141"/>
      <c r="C154" s="21" t="s">
        <v>1230</v>
      </c>
      <c r="D154" s="21" t="s">
        <v>1240</v>
      </c>
      <c r="E154" s="21" t="s">
        <v>1348</v>
      </c>
      <c r="F154" s="16" t="s">
        <v>1243</v>
      </c>
      <c r="G154" s="20" t="s">
        <v>2539</v>
      </c>
      <c r="H154" s="31" t="s">
        <v>1246</v>
      </c>
      <c r="I154" s="30" t="s">
        <v>1514</v>
      </c>
      <c r="J154" s="30" t="s">
        <v>1516</v>
      </c>
      <c r="K154" s="29" t="s">
        <v>108</v>
      </c>
      <c r="L154" s="133" t="s">
        <v>325</v>
      </c>
      <c r="M154" s="691">
        <v>39.99</v>
      </c>
      <c r="N154" s="37">
        <v>3</v>
      </c>
      <c r="O154" s="77">
        <v>24</v>
      </c>
      <c r="P154" s="620">
        <f>3.7/16</f>
        <v>0.23125000000000001</v>
      </c>
      <c r="Q154" s="633" t="s">
        <v>1667</v>
      </c>
      <c r="R154" s="633" t="s">
        <v>1666</v>
      </c>
      <c r="S154" s="623"/>
      <c r="T154" s="46">
        <v>0.3</v>
      </c>
      <c r="U154" s="35">
        <v>7.0625</v>
      </c>
      <c r="V154" s="35">
        <v>2.75</v>
      </c>
      <c r="W154" s="72">
        <v>3.75</v>
      </c>
      <c r="X154" s="46">
        <f>16.8/16</f>
        <v>1.05</v>
      </c>
      <c r="Y154" s="35">
        <v>7.375</v>
      </c>
      <c r="Z154" s="35">
        <v>7.25</v>
      </c>
      <c r="AA154" s="72">
        <v>4.25</v>
      </c>
      <c r="AB154" s="46">
        <f>CONVERT(4080,"g","lbm")</f>
        <v>8.9948602971430045</v>
      </c>
      <c r="AC154" s="35">
        <f t="shared" si="10"/>
        <v>15.551181102362206</v>
      </c>
      <c r="AD154" s="35">
        <f>CONVERT(0.378,"m","in")</f>
        <v>14.881889763779528</v>
      </c>
      <c r="AE154" s="72">
        <f t="shared" si="11"/>
        <v>9.2519685039370074</v>
      </c>
      <c r="AF154" s="44">
        <f t="shared" si="12"/>
        <v>1.2391157287235832</v>
      </c>
      <c r="AG154" s="179" t="s">
        <v>1426</v>
      </c>
      <c r="AH154" s="179" t="s">
        <v>1454</v>
      </c>
      <c r="AI154" s="179" t="s">
        <v>1455</v>
      </c>
      <c r="AJ154" s="180" t="s">
        <v>1428</v>
      </c>
      <c r="AK154" s="175" t="s">
        <v>1456</v>
      </c>
      <c r="AL154" s="175" t="s">
        <v>1429</v>
      </c>
      <c r="AM154" s="98" t="s">
        <v>1984</v>
      </c>
      <c r="AN154" s="159"/>
      <c r="AO154" s="48" t="s">
        <v>1430</v>
      </c>
      <c r="AP154" s="161" t="s">
        <v>1247</v>
      </c>
      <c r="AQ154" s="48"/>
    </row>
    <row r="155" spans="1:43" x14ac:dyDescent="0.25">
      <c r="A155" s="20" t="s">
        <v>152</v>
      </c>
      <c r="B155" s="671"/>
      <c r="C155" s="39" t="s">
        <v>2671</v>
      </c>
      <c r="D155" s="21" t="s">
        <v>95</v>
      </c>
      <c r="E155" s="39" t="s">
        <v>2672</v>
      </c>
      <c r="F155" s="39" t="s">
        <v>111</v>
      </c>
      <c r="G155" s="39" t="s">
        <v>2539</v>
      </c>
      <c r="H155" s="610">
        <v>54269001964</v>
      </c>
      <c r="I155" s="673">
        <v>10054269001961</v>
      </c>
      <c r="J155" s="673">
        <v>20054269001968</v>
      </c>
      <c r="K155" s="38" t="s">
        <v>108</v>
      </c>
      <c r="L155" s="58" t="s">
        <v>325</v>
      </c>
      <c r="M155" s="679">
        <v>29.99</v>
      </c>
      <c r="N155" s="39">
        <v>3</v>
      </c>
      <c r="O155" s="279">
        <v>24</v>
      </c>
      <c r="P155" s="620">
        <v>0.112</v>
      </c>
      <c r="Q155" s="621">
        <v>2.4</v>
      </c>
      <c r="R155" s="621">
        <v>1.7</v>
      </c>
      <c r="S155" s="627">
        <v>1.7</v>
      </c>
      <c r="T155" s="283">
        <v>0.27</v>
      </c>
      <c r="U155" s="283">
        <v>4.12</v>
      </c>
      <c r="V155" s="283">
        <v>4.6900000000000004</v>
      </c>
      <c r="W155" s="283">
        <v>1.65</v>
      </c>
      <c r="X155" s="397">
        <f>T155*N155</f>
        <v>0.81</v>
      </c>
      <c r="Y155" s="39">
        <v>5</v>
      </c>
      <c r="Z155" s="39">
        <v>5.5</v>
      </c>
      <c r="AA155" s="279">
        <v>4.5</v>
      </c>
      <c r="AB155" s="397">
        <f>T155*O155</f>
        <v>6.48</v>
      </c>
      <c r="AC155" s="39">
        <v>10.9</v>
      </c>
      <c r="AD155" s="39">
        <v>6.4</v>
      </c>
      <c r="AE155" s="279">
        <v>10.3</v>
      </c>
      <c r="AF155" s="44">
        <f t="shared" si="12"/>
        <v>0.41581481481481491</v>
      </c>
      <c r="AG155" s="39" t="s">
        <v>2760</v>
      </c>
      <c r="AH155" t="s">
        <v>2761</v>
      </c>
      <c r="AI155" t="s">
        <v>2762</v>
      </c>
      <c r="AJ155" t="s">
        <v>2763</v>
      </c>
      <c r="AK155" t="s">
        <v>2764</v>
      </c>
      <c r="AL155" s="39"/>
      <c r="AM155" s="39"/>
      <c r="AN155" s="39"/>
      <c r="AO155" s="22" t="s">
        <v>2902</v>
      </c>
      <c r="AP155" s="161" t="s">
        <v>1247</v>
      </c>
      <c r="AQ155" s="39"/>
    </row>
    <row r="156" spans="1:43" x14ac:dyDescent="0.25">
      <c r="A156" s="20" t="s">
        <v>152</v>
      </c>
      <c r="B156" s="671"/>
      <c r="C156" s="39" t="s">
        <v>2671</v>
      </c>
      <c r="D156" s="21" t="s">
        <v>3106</v>
      </c>
      <c r="E156" s="39" t="s">
        <v>2672</v>
      </c>
      <c r="F156" s="39" t="s">
        <v>2738</v>
      </c>
      <c r="G156" s="39" t="s">
        <v>2539</v>
      </c>
      <c r="H156" s="610">
        <v>54269002022</v>
      </c>
      <c r="I156" s="673">
        <v>10054269002029</v>
      </c>
      <c r="J156" s="673">
        <v>20054269002026</v>
      </c>
      <c r="K156" s="38" t="s">
        <v>108</v>
      </c>
      <c r="L156" s="58" t="s">
        <v>325</v>
      </c>
      <c r="M156" s="679">
        <v>29.99</v>
      </c>
      <c r="N156" s="39">
        <v>3</v>
      </c>
      <c r="O156" s="279">
        <v>24</v>
      </c>
      <c r="P156" s="620">
        <v>0.112</v>
      </c>
      <c r="Q156" s="621">
        <v>2.4</v>
      </c>
      <c r="R156" s="621">
        <v>1.7</v>
      </c>
      <c r="S156" s="627">
        <v>1.7</v>
      </c>
      <c r="T156" s="283">
        <v>0.27</v>
      </c>
      <c r="U156" s="283">
        <v>4.12</v>
      </c>
      <c r="V156" s="283">
        <v>4.6900000000000004</v>
      </c>
      <c r="W156" s="283">
        <v>1.65</v>
      </c>
      <c r="X156" s="397">
        <f>T156*N156</f>
        <v>0.81</v>
      </c>
      <c r="Y156" s="39">
        <v>5</v>
      </c>
      <c r="Z156" s="39">
        <v>5.5</v>
      </c>
      <c r="AA156" s="279">
        <v>4.5</v>
      </c>
      <c r="AB156" s="397">
        <f>T156*O156</f>
        <v>6.48</v>
      </c>
      <c r="AC156" s="39">
        <v>10.9</v>
      </c>
      <c r="AD156" s="39">
        <v>6.4</v>
      </c>
      <c r="AE156" s="279">
        <v>10.3</v>
      </c>
      <c r="AF156" s="44">
        <f t="shared" si="12"/>
        <v>0.41581481481481491</v>
      </c>
      <c r="AG156" s="39" t="s">
        <v>2760</v>
      </c>
      <c r="AH156" t="s">
        <v>2761</v>
      </c>
      <c r="AI156" t="s">
        <v>2762</v>
      </c>
      <c r="AJ156" t="s">
        <v>2763</v>
      </c>
      <c r="AK156" t="s">
        <v>2764</v>
      </c>
      <c r="AL156" s="39"/>
      <c r="AM156" s="39"/>
      <c r="AN156" s="39"/>
      <c r="AO156" s="22" t="s">
        <v>2902</v>
      </c>
      <c r="AP156" s="161" t="s">
        <v>1247</v>
      </c>
      <c r="AQ156" s="39"/>
    </row>
    <row r="157" spans="1:43" x14ac:dyDescent="0.25">
      <c r="A157" s="20" t="s">
        <v>152</v>
      </c>
      <c r="B157" s="671"/>
      <c r="C157" s="39" t="s">
        <v>2671</v>
      </c>
      <c r="D157" s="21" t="s">
        <v>72</v>
      </c>
      <c r="E157" s="39" t="s">
        <v>2672</v>
      </c>
      <c r="F157" s="39" t="s">
        <v>534</v>
      </c>
      <c r="G157" s="39" t="s">
        <v>2539</v>
      </c>
      <c r="H157" s="610">
        <v>54269002039</v>
      </c>
      <c r="I157" s="673">
        <v>10054269002036</v>
      </c>
      <c r="J157" s="673">
        <v>20054269002033</v>
      </c>
      <c r="K157" s="38" t="s">
        <v>108</v>
      </c>
      <c r="L157" s="58" t="s">
        <v>325</v>
      </c>
      <c r="M157" s="679">
        <v>29.99</v>
      </c>
      <c r="N157" s="39">
        <v>3</v>
      </c>
      <c r="O157" s="279">
        <v>24</v>
      </c>
      <c r="P157" s="620">
        <v>0.112</v>
      </c>
      <c r="Q157" s="621">
        <v>2.4</v>
      </c>
      <c r="R157" s="621">
        <v>1.7</v>
      </c>
      <c r="S157" s="627">
        <v>1.7</v>
      </c>
      <c r="T157" s="283">
        <v>0.27</v>
      </c>
      <c r="U157" s="283">
        <v>4.12</v>
      </c>
      <c r="V157" s="283">
        <v>4.6900000000000004</v>
      </c>
      <c r="W157" s="283">
        <v>1.65</v>
      </c>
      <c r="X157" s="397">
        <f>T157*N157</f>
        <v>0.81</v>
      </c>
      <c r="Y157" s="39">
        <v>5</v>
      </c>
      <c r="Z157" s="39">
        <v>5.5</v>
      </c>
      <c r="AA157" s="279">
        <v>4.5</v>
      </c>
      <c r="AB157" s="397">
        <f>T157*O157</f>
        <v>6.48</v>
      </c>
      <c r="AC157" s="39">
        <v>10.9</v>
      </c>
      <c r="AD157" s="39">
        <v>6.4</v>
      </c>
      <c r="AE157" s="279">
        <v>10.3</v>
      </c>
      <c r="AF157" s="44">
        <f t="shared" si="12"/>
        <v>0.41581481481481491</v>
      </c>
      <c r="AG157" s="39" t="s">
        <v>2760</v>
      </c>
      <c r="AH157" t="s">
        <v>2761</v>
      </c>
      <c r="AI157" t="s">
        <v>2762</v>
      </c>
      <c r="AJ157" t="s">
        <v>2763</v>
      </c>
      <c r="AK157" t="s">
        <v>2764</v>
      </c>
      <c r="AL157" s="39"/>
      <c r="AM157" s="39"/>
      <c r="AN157" s="39"/>
      <c r="AO157" s="22" t="s">
        <v>2902</v>
      </c>
      <c r="AP157" s="161" t="s">
        <v>1247</v>
      </c>
      <c r="AQ157" s="39"/>
    </row>
    <row r="158" spans="1:43" x14ac:dyDescent="0.25">
      <c r="A158" s="20" t="s">
        <v>152</v>
      </c>
      <c r="B158" s="671"/>
      <c r="C158" s="39" t="s">
        <v>2671</v>
      </c>
      <c r="D158" s="21" t="s">
        <v>3108</v>
      </c>
      <c r="E158" s="39" t="s">
        <v>2672</v>
      </c>
      <c r="F158" s="39" t="s">
        <v>2739</v>
      </c>
      <c r="G158" s="39" t="s">
        <v>2539</v>
      </c>
      <c r="H158" s="610">
        <v>54269002046</v>
      </c>
      <c r="I158" s="673">
        <v>10054269002043</v>
      </c>
      <c r="J158" s="673">
        <v>20054269002040</v>
      </c>
      <c r="K158" s="38" t="s">
        <v>108</v>
      </c>
      <c r="L158" s="58" t="s">
        <v>325</v>
      </c>
      <c r="M158" s="679">
        <v>29.99</v>
      </c>
      <c r="N158" s="39">
        <v>3</v>
      </c>
      <c r="O158" s="279">
        <v>24</v>
      </c>
      <c r="P158" s="620">
        <v>0.112</v>
      </c>
      <c r="Q158" s="621">
        <v>2.4</v>
      </c>
      <c r="R158" s="621">
        <v>1.7</v>
      </c>
      <c r="S158" s="627">
        <v>1.7</v>
      </c>
      <c r="T158" s="283">
        <v>0.27</v>
      </c>
      <c r="U158" s="283">
        <v>4.12</v>
      </c>
      <c r="V158" s="283">
        <v>4.6900000000000004</v>
      </c>
      <c r="W158" s="283">
        <v>1.65</v>
      </c>
      <c r="X158" s="397">
        <f>T158*N158</f>
        <v>0.81</v>
      </c>
      <c r="Y158" s="39">
        <v>5</v>
      </c>
      <c r="Z158" s="39">
        <v>5.5</v>
      </c>
      <c r="AA158" s="279">
        <v>4.5</v>
      </c>
      <c r="AB158" s="397">
        <f>T158*O158</f>
        <v>6.48</v>
      </c>
      <c r="AC158" s="39">
        <v>10.9</v>
      </c>
      <c r="AD158" s="39">
        <v>6.4</v>
      </c>
      <c r="AE158" s="279">
        <v>10.3</v>
      </c>
      <c r="AF158" s="44">
        <f t="shared" si="12"/>
        <v>0.41581481481481491</v>
      </c>
      <c r="AG158" s="39" t="s">
        <v>2760</v>
      </c>
      <c r="AH158" t="s">
        <v>2761</v>
      </c>
      <c r="AI158" t="s">
        <v>2762</v>
      </c>
      <c r="AJ158" t="s">
        <v>2763</v>
      </c>
      <c r="AK158" t="s">
        <v>2764</v>
      </c>
      <c r="AL158" s="39"/>
      <c r="AM158" s="39"/>
      <c r="AN158" s="39"/>
      <c r="AO158" s="22" t="s">
        <v>2902</v>
      </c>
      <c r="AP158" s="161" t="s">
        <v>1247</v>
      </c>
      <c r="AQ158" s="39"/>
    </row>
    <row r="159" spans="1:43" x14ac:dyDescent="0.25">
      <c r="A159" s="20" t="s">
        <v>152</v>
      </c>
      <c r="B159" s="671"/>
      <c r="C159" s="39" t="s">
        <v>2671</v>
      </c>
      <c r="D159" s="21" t="s">
        <v>3107</v>
      </c>
      <c r="E159" s="39" t="s">
        <v>2672</v>
      </c>
      <c r="F159" s="39" t="s">
        <v>2740</v>
      </c>
      <c r="G159" s="39" t="s">
        <v>2539</v>
      </c>
      <c r="H159" s="610">
        <v>54269002053</v>
      </c>
      <c r="I159" s="673">
        <v>10054269002050</v>
      </c>
      <c r="J159" s="673">
        <v>20054269002057</v>
      </c>
      <c r="K159" s="38" t="s">
        <v>108</v>
      </c>
      <c r="L159" s="58" t="s">
        <v>325</v>
      </c>
      <c r="M159" s="679">
        <v>29.99</v>
      </c>
      <c r="N159" s="39">
        <v>3</v>
      </c>
      <c r="O159" s="279">
        <v>24</v>
      </c>
      <c r="P159" s="620">
        <v>0.112</v>
      </c>
      <c r="Q159" s="621">
        <v>2.4</v>
      </c>
      <c r="R159" s="621">
        <v>1.7</v>
      </c>
      <c r="S159" s="627">
        <v>1.7</v>
      </c>
      <c r="T159" s="283">
        <v>0.27</v>
      </c>
      <c r="U159" s="283">
        <v>4.12</v>
      </c>
      <c r="V159" s="283">
        <v>4.6900000000000004</v>
      </c>
      <c r="W159" s="283">
        <v>1.65</v>
      </c>
      <c r="X159" s="397">
        <f>T159*N159</f>
        <v>0.81</v>
      </c>
      <c r="Y159" s="39">
        <v>5</v>
      </c>
      <c r="Z159" s="39">
        <v>5.5</v>
      </c>
      <c r="AA159" s="279">
        <v>4.5</v>
      </c>
      <c r="AB159" s="397">
        <f>T159*O159</f>
        <v>6.48</v>
      </c>
      <c r="AC159" s="39">
        <v>10.9</v>
      </c>
      <c r="AD159" s="39">
        <v>6.4</v>
      </c>
      <c r="AE159" s="279">
        <v>10.3</v>
      </c>
      <c r="AF159" s="44">
        <f t="shared" si="12"/>
        <v>0.41581481481481491</v>
      </c>
      <c r="AG159" s="39" t="s">
        <v>2760</v>
      </c>
      <c r="AH159" t="s">
        <v>2761</v>
      </c>
      <c r="AI159" t="s">
        <v>2762</v>
      </c>
      <c r="AJ159" t="s">
        <v>2763</v>
      </c>
      <c r="AK159" t="s">
        <v>2764</v>
      </c>
      <c r="AL159" s="39"/>
      <c r="AM159" s="39"/>
      <c r="AN159" s="39"/>
      <c r="AO159" s="22" t="s">
        <v>2902</v>
      </c>
      <c r="AP159" s="161" t="s">
        <v>1247</v>
      </c>
      <c r="AQ159" s="39"/>
    </row>
    <row r="160" spans="1:43" x14ac:dyDescent="0.25">
      <c r="O160" s="77"/>
      <c r="S160" s="617"/>
    </row>
    <row r="161" spans="1:43" ht="15.6" x14ac:dyDescent="0.3">
      <c r="A161" s="799" t="s">
        <v>2875</v>
      </c>
      <c r="B161" s="799"/>
      <c r="C161" s="799"/>
      <c r="O161" s="77"/>
      <c r="S161" s="617"/>
    </row>
    <row r="162" spans="1:43" x14ac:dyDescent="0.25">
      <c r="A162" s="20" t="s">
        <v>152</v>
      </c>
      <c r="B162" s="671"/>
      <c r="C162" s="39" t="s">
        <v>2930</v>
      </c>
      <c r="D162" s="39"/>
      <c r="E162" s="21" t="s">
        <v>2929</v>
      </c>
      <c r="F162" s="39" t="s">
        <v>534</v>
      </c>
      <c r="G162" s="22" t="s">
        <v>1527</v>
      </c>
      <c r="H162" s="610">
        <v>54269002336</v>
      </c>
      <c r="I162" s="178"/>
      <c r="J162" s="178"/>
      <c r="K162" s="38" t="s">
        <v>108</v>
      </c>
      <c r="L162" s="58" t="s">
        <v>325</v>
      </c>
      <c r="M162" s="677">
        <v>29.99</v>
      </c>
      <c r="N162" s="178"/>
      <c r="O162" s="231"/>
      <c r="P162" s="620">
        <v>0.2</v>
      </c>
      <c r="Q162" s="621">
        <v>8.5</v>
      </c>
      <c r="R162" s="621">
        <v>2</v>
      </c>
      <c r="S162" s="623">
        <v>8</v>
      </c>
      <c r="T162" s="46">
        <v>0.2</v>
      </c>
      <c r="U162" s="178"/>
      <c r="V162" s="178"/>
      <c r="W162" s="136"/>
      <c r="X162" s="397">
        <f>T162*N162</f>
        <v>0</v>
      </c>
      <c r="Y162" s="178"/>
      <c r="Z162" s="178"/>
      <c r="AA162" s="231"/>
      <c r="AB162" s="403"/>
      <c r="AC162" s="178"/>
      <c r="AD162" s="178"/>
      <c r="AE162" s="231"/>
      <c r="AF162" s="403"/>
      <c r="AG162" s="39" t="s">
        <v>3124</v>
      </c>
      <c r="AH162" s="39" t="s">
        <v>3125</v>
      </c>
      <c r="AI162" s="39" t="s">
        <v>3126</v>
      </c>
      <c r="AJ162" s="39" t="s">
        <v>3127</v>
      </c>
      <c r="AK162" s="39" t="s">
        <v>3128</v>
      </c>
      <c r="AL162" s="39"/>
      <c r="AM162" s="39"/>
      <c r="AN162" s="39"/>
      <c r="AO162" s="700" t="s">
        <v>2893</v>
      </c>
      <c r="AP162" s="161" t="s">
        <v>1247</v>
      </c>
    </row>
    <row r="163" spans="1:43" s="16" customFormat="1" x14ac:dyDescent="0.25">
      <c r="A163" s="20" t="s">
        <v>152</v>
      </c>
      <c r="B163" s="671"/>
      <c r="C163" s="39" t="s">
        <v>2930</v>
      </c>
      <c r="D163" s="35"/>
      <c r="E163" s="21" t="s">
        <v>2929</v>
      </c>
      <c r="F163" s="20" t="s">
        <v>54</v>
      </c>
      <c r="G163" s="16" t="s">
        <v>1527</v>
      </c>
      <c r="H163" s="610" t="s">
        <v>2932</v>
      </c>
      <c r="I163" s="293"/>
      <c r="J163" s="293"/>
      <c r="K163" s="38" t="s">
        <v>108</v>
      </c>
      <c r="L163" s="58" t="s">
        <v>325</v>
      </c>
      <c r="M163" s="678">
        <v>29.99</v>
      </c>
      <c r="N163" s="178"/>
      <c r="O163" s="231"/>
      <c r="P163" s="620">
        <v>0.2</v>
      </c>
      <c r="Q163" s="621">
        <v>8.5</v>
      </c>
      <c r="R163" s="621">
        <v>2</v>
      </c>
      <c r="S163" s="623">
        <v>8</v>
      </c>
      <c r="T163" s="46">
        <v>0.2</v>
      </c>
      <c r="U163" s="135"/>
      <c r="V163" s="135"/>
      <c r="W163" s="136"/>
      <c r="X163" s="397">
        <f>T163*N163</f>
        <v>0</v>
      </c>
      <c r="Y163" s="135"/>
      <c r="Z163" s="135"/>
      <c r="AA163" s="231"/>
      <c r="AB163" s="134"/>
      <c r="AC163" s="135"/>
      <c r="AD163" s="135"/>
      <c r="AE163" s="231"/>
      <c r="AF163" s="134"/>
      <c r="AG163" s="39" t="s">
        <v>3124</v>
      </c>
      <c r="AH163" s="39" t="s">
        <v>3125</v>
      </c>
      <c r="AI163" s="39" t="s">
        <v>3126</v>
      </c>
      <c r="AJ163" s="39" t="s">
        <v>3127</v>
      </c>
      <c r="AK163" s="98" t="s">
        <v>3129</v>
      </c>
      <c r="AL163" s="98"/>
      <c r="AM163" s="98"/>
      <c r="AN163" s="98"/>
      <c r="AO163" s="69" t="s">
        <v>2893</v>
      </c>
      <c r="AP163" s="161" t="s">
        <v>1247</v>
      </c>
      <c r="AQ163" s="48"/>
    </row>
    <row r="164" spans="1:43" s="16" customFormat="1" x14ac:dyDescent="0.25">
      <c r="A164" s="20" t="s">
        <v>152</v>
      </c>
      <c r="B164" s="671"/>
      <c r="C164" s="35" t="s">
        <v>2931</v>
      </c>
      <c r="D164" s="35"/>
      <c r="E164" s="18" t="s">
        <v>2927</v>
      </c>
      <c r="F164" s="20" t="s">
        <v>534</v>
      </c>
      <c r="G164" s="16" t="s">
        <v>1527</v>
      </c>
      <c r="H164" s="610" t="s">
        <v>2933</v>
      </c>
      <c r="I164" s="293"/>
      <c r="J164" s="293"/>
      <c r="K164" s="38" t="s">
        <v>108</v>
      </c>
      <c r="L164" s="58" t="s">
        <v>325</v>
      </c>
      <c r="M164" s="678">
        <v>44.99</v>
      </c>
      <c r="N164" s="178"/>
      <c r="O164" s="231"/>
      <c r="P164" s="620">
        <v>0.3</v>
      </c>
      <c r="Q164" s="621">
        <v>13</v>
      </c>
      <c r="R164" s="621">
        <v>2</v>
      </c>
      <c r="S164" s="623">
        <v>8</v>
      </c>
      <c r="T164" s="46">
        <v>0.3</v>
      </c>
      <c r="U164" s="135"/>
      <c r="V164" s="135"/>
      <c r="W164" s="136"/>
      <c r="X164" s="397">
        <f>T164*N164</f>
        <v>0</v>
      </c>
      <c r="Y164" s="135"/>
      <c r="Z164" s="135"/>
      <c r="AA164" s="231"/>
      <c r="AB164" s="134"/>
      <c r="AC164" s="135"/>
      <c r="AD164" s="135"/>
      <c r="AE164" s="231"/>
      <c r="AF164" s="134"/>
      <c r="AG164" s="675"/>
      <c r="AH164" s="675"/>
      <c r="AI164" s="675"/>
      <c r="AJ164" s="675"/>
      <c r="AK164" s="675"/>
      <c r="AL164" s="675"/>
      <c r="AM164" s="675"/>
      <c r="AN164" s="675"/>
      <c r="AO164" s="69" t="s">
        <v>2894</v>
      </c>
      <c r="AP164" s="161" t="s">
        <v>1247</v>
      </c>
      <c r="AQ164" s="48"/>
    </row>
    <row r="165" spans="1:43" s="16" customFormat="1" x14ac:dyDescent="0.25">
      <c r="A165" s="20" t="s">
        <v>152</v>
      </c>
      <c r="B165" s="671"/>
      <c r="C165" s="35" t="s">
        <v>2931</v>
      </c>
      <c r="D165" s="35"/>
      <c r="E165" s="18" t="s">
        <v>2928</v>
      </c>
      <c r="F165" s="20" t="s">
        <v>534</v>
      </c>
      <c r="G165" s="16" t="s">
        <v>1527</v>
      </c>
      <c r="H165" s="610" t="s">
        <v>2934</v>
      </c>
      <c r="I165" s="293"/>
      <c r="J165" s="293"/>
      <c r="K165" s="38" t="s">
        <v>108</v>
      </c>
      <c r="L165" s="58" t="s">
        <v>325</v>
      </c>
      <c r="M165" s="678">
        <v>44.99</v>
      </c>
      <c r="N165" s="178"/>
      <c r="O165" s="231"/>
      <c r="P165" s="621">
        <v>0.3</v>
      </c>
      <c r="Q165" s="621">
        <v>13</v>
      </c>
      <c r="R165" s="621">
        <v>2</v>
      </c>
      <c r="S165" s="623">
        <v>8</v>
      </c>
      <c r="T165" s="44">
        <v>0.3</v>
      </c>
      <c r="U165" s="135"/>
      <c r="V165" s="135"/>
      <c r="W165" s="136"/>
      <c r="X165" s="397">
        <f>T165*N165</f>
        <v>0</v>
      </c>
      <c r="Y165" s="135"/>
      <c r="Z165" s="135"/>
      <c r="AA165" s="231"/>
      <c r="AB165" s="134"/>
      <c r="AC165" s="135"/>
      <c r="AD165" s="135"/>
      <c r="AE165" s="231"/>
      <c r="AF165" s="134"/>
      <c r="AG165" s="675"/>
      <c r="AH165" s="675"/>
      <c r="AI165" s="675"/>
      <c r="AJ165" s="675"/>
      <c r="AK165" s="675"/>
      <c r="AL165" s="675"/>
      <c r="AM165" s="675"/>
      <c r="AN165" s="675"/>
      <c r="AO165" s="69" t="s">
        <v>2894</v>
      </c>
      <c r="AP165" s="161" t="s">
        <v>1247</v>
      </c>
      <c r="AQ165" s="48"/>
    </row>
    <row r="166" spans="1:43" s="16" customFormat="1" ht="15.6" x14ac:dyDescent="0.3">
      <c r="A166" s="799" t="s">
        <v>1173</v>
      </c>
      <c r="B166" s="799"/>
      <c r="C166" s="799"/>
      <c r="D166" s="24"/>
      <c r="E166" s="21"/>
      <c r="H166" s="31"/>
      <c r="I166" s="31"/>
      <c r="J166" s="31"/>
      <c r="K166" s="31"/>
      <c r="L166" s="133"/>
      <c r="M166" s="691"/>
      <c r="N166" s="19"/>
      <c r="O166" s="77"/>
      <c r="P166" s="620"/>
      <c r="Q166" s="621"/>
      <c r="R166" s="621"/>
      <c r="S166" s="617"/>
      <c r="T166" s="44"/>
      <c r="U166" s="17"/>
      <c r="V166" s="17"/>
      <c r="W166" s="45"/>
      <c r="X166" s="44"/>
      <c r="Y166" s="17"/>
      <c r="Z166" s="17"/>
      <c r="AA166" s="45"/>
      <c r="AB166" s="44"/>
      <c r="AC166" s="17"/>
      <c r="AD166" s="17"/>
      <c r="AE166" s="45"/>
      <c r="AF166" s="44"/>
      <c r="AG166" s="161"/>
      <c r="AH166" s="161"/>
      <c r="AI166" s="173"/>
      <c r="AJ166" s="173"/>
      <c r="AK166" s="174"/>
      <c r="AL166" s="174"/>
      <c r="AM166" s="48"/>
      <c r="AN166" s="159"/>
      <c r="AO166" s="48"/>
      <c r="AP166" s="48"/>
      <c r="AQ166" s="48"/>
    </row>
    <row r="167" spans="1:43" ht="13.8" x14ac:dyDescent="0.3">
      <c r="A167" s="20" t="s">
        <v>152</v>
      </c>
      <c r="B167" s="671"/>
      <c r="C167" s="39" t="s">
        <v>2678</v>
      </c>
      <c r="D167" s="39"/>
      <c r="E167" s="39" t="s">
        <v>2680</v>
      </c>
      <c r="F167" s="39"/>
      <c r="G167" s="39" t="s">
        <v>1517</v>
      </c>
      <c r="H167" s="30" t="s">
        <v>2679</v>
      </c>
      <c r="I167" s="178"/>
      <c r="J167" s="178"/>
      <c r="K167" s="38" t="s">
        <v>1221</v>
      </c>
      <c r="L167" s="58" t="s">
        <v>325</v>
      </c>
      <c r="M167" s="679">
        <v>39.99</v>
      </c>
      <c r="N167" s="39">
        <v>0</v>
      </c>
      <c r="O167" s="279">
        <v>6</v>
      </c>
      <c r="P167" s="670">
        <v>3.3</v>
      </c>
      <c r="Q167" s="670">
        <v>13.5</v>
      </c>
      <c r="R167" s="670">
        <v>10</v>
      </c>
      <c r="S167" s="617">
        <v>11</v>
      </c>
      <c r="T167" s="670">
        <v>3.7</v>
      </c>
      <c r="U167" s="670">
        <v>14</v>
      </c>
      <c r="V167" s="670">
        <v>10.25</v>
      </c>
      <c r="W167" s="670">
        <v>1.5</v>
      </c>
      <c r="X167" s="397">
        <v>3.7</v>
      </c>
      <c r="Y167" s="39">
        <v>14</v>
      </c>
      <c r="Z167" s="39">
        <v>10.25</v>
      </c>
      <c r="AA167" s="279">
        <v>1.5</v>
      </c>
      <c r="AB167" s="397">
        <v>25</v>
      </c>
      <c r="AC167" s="39">
        <v>10.63</v>
      </c>
      <c r="AD167" s="39">
        <v>9.0500000000000007</v>
      </c>
      <c r="AE167" s="279">
        <v>14.57</v>
      </c>
      <c r="AF167" s="42">
        <f>AC167*AD167*AE167/(12^3)</f>
        <v>0.81114343460648164</v>
      </c>
      <c r="AG167" s="39" t="s">
        <v>2788</v>
      </c>
      <c r="AH167" t="s">
        <v>2789</v>
      </c>
      <c r="AI167" t="s">
        <v>2790</v>
      </c>
      <c r="AJ167" t="s">
        <v>2791</v>
      </c>
      <c r="AK167" t="s">
        <v>2792</v>
      </c>
      <c r="AL167" s="39"/>
      <c r="AM167" s="39"/>
      <c r="AN167" s="39"/>
      <c r="AO167" s="640" t="s">
        <v>2793</v>
      </c>
      <c r="AP167" s="161" t="s">
        <v>1247</v>
      </c>
      <c r="AQ167" s="39"/>
    </row>
    <row r="168" spans="1:43" s="16" customFormat="1" x14ac:dyDescent="0.25">
      <c r="A168" s="16" t="s">
        <v>152</v>
      </c>
      <c r="B168" s="143"/>
      <c r="C168" s="21" t="s">
        <v>601</v>
      </c>
      <c r="D168" s="21"/>
      <c r="E168" s="21" t="s">
        <v>1523</v>
      </c>
      <c r="G168" s="20" t="s">
        <v>1507</v>
      </c>
      <c r="H168" s="31" t="s">
        <v>603</v>
      </c>
      <c r="I168" s="30" t="s">
        <v>66</v>
      </c>
      <c r="J168" s="30" t="s">
        <v>1519</v>
      </c>
      <c r="K168" s="31" t="s">
        <v>1221</v>
      </c>
      <c r="L168" s="133" t="s">
        <v>325</v>
      </c>
      <c r="M168" s="691">
        <v>29.99</v>
      </c>
      <c r="N168" s="37">
        <v>1</v>
      </c>
      <c r="O168" s="228">
        <v>6</v>
      </c>
      <c r="P168" s="620">
        <f>CONVERT(560,"g","lbm")</f>
        <v>1.2345886682353144</v>
      </c>
      <c r="Q168" s="621">
        <v>9.1</v>
      </c>
      <c r="R168" s="621">
        <v>9.1</v>
      </c>
      <c r="S168" s="623">
        <v>10.199999999999999</v>
      </c>
      <c r="T168" s="46">
        <f>CONVERT(640,"g","lbm")</f>
        <v>1.4109584779832165</v>
      </c>
      <c r="U168" s="35">
        <v>4.25</v>
      </c>
      <c r="V168" s="35">
        <v>0.9375</v>
      </c>
      <c r="W168" s="72">
        <v>13.75</v>
      </c>
      <c r="X168" s="46" t="s">
        <v>66</v>
      </c>
      <c r="Y168" s="35" t="s">
        <v>66</v>
      </c>
      <c r="Z168" s="35" t="s">
        <v>66</v>
      </c>
      <c r="AA168" s="72" t="s">
        <v>66</v>
      </c>
      <c r="AB168" s="46">
        <f>CONVERT(4500,"g","lbm")</f>
        <v>9.9208017983194914</v>
      </c>
      <c r="AC168" s="35">
        <f>CONVERT(0.39,"m","in")</f>
        <v>15.354330708661417</v>
      </c>
      <c r="AD168" s="35">
        <f>CONVERT(0.13,"m","in")</f>
        <v>5.1181102362204722</v>
      </c>
      <c r="AE168" s="72">
        <f>CONVERT(0.17,"m","in")</f>
        <v>6.6929133858267722</v>
      </c>
      <c r="AF168" s="44">
        <f>AC168*AD168*AE168/(12^3)</f>
        <v>0.30437711247251015</v>
      </c>
      <c r="AG168" s="161" t="s">
        <v>1579</v>
      </c>
      <c r="AH168" s="161" t="s">
        <v>1580</v>
      </c>
      <c r="AI168" s="161" t="s">
        <v>1581</v>
      </c>
      <c r="AJ168" s="161" t="s">
        <v>1582</v>
      </c>
      <c r="AK168" s="16" t="s">
        <v>1583</v>
      </c>
      <c r="AL168" s="175" t="s">
        <v>1584</v>
      </c>
      <c r="AM168" s="48" t="s">
        <v>69</v>
      </c>
      <c r="AN168" s="161" t="s">
        <v>607</v>
      </c>
      <c r="AO168" s="48" t="s">
        <v>1578</v>
      </c>
      <c r="AP168" s="161" t="s">
        <v>1247</v>
      </c>
      <c r="AQ168" s="48"/>
    </row>
    <row r="169" spans="1:43" s="16" customFormat="1" x14ac:dyDescent="0.25">
      <c r="A169" s="16" t="s">
        <v>152</v>
      </c>
      <c r="B169" s="143"/>
      <c r="C169" s="21" t="s">
        <v>916</v>
      </c>
      <c r="D169" s="21"/>
      <c r="E169" s="21" t="s">
        <v>1524</v>
      </c>
      <c r="G169" s="20" t="s">
        <v>1507</v>
      </c>
      <c r="H169" s="31" t="s">
        <v>917</v>
      </c>
      <c r="I169" s="30" t="s">
        <v>66</v>
      </c>
      <c r="J169" s="30" t="s">
        <v>1520</v>
      </c>
      <c r="K169" s="31" t="s">
        <v>1221</v>
      </c>
      <c r="L169" s="133" t="s">
        <v>325</v>
      </c>
      <c r="M169" s="691">
        <v>49.99</v>
      </c>
      <c r="N169" s="37">
        <v>1</v>
      </c>
      <c r="O169" s="77">
        <v>6</v>
      </c>
      <c r="P169" s="620">
        <f>CONVERT(0.91,"kg","lbm")</f>
        <v>2.0062065858823859</v>
      </c>
      <c r="Q169" s="621">
        <v>17</v>
      </c>
      <c r="R169" s="621">
        <v>1.875</v>
      </c>
      <c r="S169" s="623">
        <v>7</v>
      </c>
      <c r="T169" s="46">
        <f>37.1/16</f>
        <v>2.3187500000000001</v>
      </c>
      <c r="U169" s="35">
        <v>5.75</v>
      </c>
      <c r="V169" s="35">
        <v>1</v>
      </c>
      <c r="W169" s="72">
        <v>21.375</v>
      </c>
      <c r="X169" s="46" t="s">
        <v>66</v>
      </c>
      <c r="Y169" s="35" t="s">
        <v>66</v>
      </c>
      <c r="Z169" s="35" t="s">
        <v>66</v>
      </c>
      <c r="AA169" s="72" t="s">
        <v>66</v>
      </c>
      <c r="AB169" s="46">
        <f>CONVERT(6650,"g","lbm")</f>
        <v>14.660740435294359</v>
      </c>
      <c r="AC169" s="35">
        <f>CONVERT(0.56,"m","in")</f>
        <v>22.047244094488192</v>
      </c>
      <c r="AD169" s="35">
        <f>CONVERT(0.16,"m","in")</f>
        <v>6.2992125984251972</v>
      </c>
      <c r="AE169" s="72">
        <f>CONVERT(0.16,"m","in")</f>
        <v>6.2992125984251972</v>
      </c>
      <c r="AF169" s="44">
        <f>AC169*AD169*AE169/(12^3)</f>
        <v>0.50627106211926054</v>
      </c>
      <c r="AG169" s="175" t="s">
        <v>1587</v>
      </c>
      <c r="AH169" s="175" t="s">
        <v>1588</v>
      </c>
      <c r="AI169" s="175" t="s">
        <v>1586</v>
      </c>
      <c r="AJ169" s="297" t="s">
        <v>1585</v>
      </c>
      <c r="AK169" s="175" t="s">
        <v>1589</v>
      </c>
      <c r="AL169" s="16" t="s">
        <v>1590</v>
      </c>
      <c r="AM169" s="175" t="s">
        <v>69</v>
      </c>
      <c r="AN169" s="161" t="s">
        <v>1591</v>
      </c>
      <c r="AO169" s="48" t="s">
        <v>1592</v>
      </c>
      <c r="AP169" s="161" t="s">
        <v>1247</v>
      </c>
      <c r="AQ169" s="48"/>
    </row>
    <row r="170" spans="1:43" s="16" customFormat="1" x14ac:dyDescent="0.25">
      <c r="A170" s="16" t="s">
        <v>152</v>
      </c>
      <c r="B170" s="143"/>
      <c r="C170" s="21" t="s">
        <v>602</v>
      </c>
      <c r="D170" s="21"/>
      <c r="E170" s="21" t="s">
        <v>1525</v>
      </c>
      <c r="G170" s="20" t="s">
        <v>1518</v>
      </c>
      <c r="H170" s="31" t="s">
        <v>604</v>
      </c>
      <c r="I170" s="30" t="s">
        <v>66</v>
      </c>
      <c r="J170" s="30" t="s">
        <v>1521</v>
      </c>
      <c r="K170" s="31" t="s">
        <v>1221</v>
      </c>
      <c r="L170" s="133" t="s">
        <v>325</v>
      </c>
      <c r="M170" s="691">
        <v>14.99</v>
      </c>
      <c r="N170" s="37">
        <v>1</v>
      </c>
      <c r="O170" s="77">
        <v>12</v>
      </c>
      <c r="P170" s="620">
        <f>9.3/16</f>
        <v>0.58125000000000004</v>
      </c>
      <c r="Q170" s="621">
        <v>7</v>
      </c>
      <c r="R170" s="621">
        <v>7</v>
      </c>
      <c r="S170" s="623">
        <v>2.75</v>
      </c>
      <c r="T170" s="46">
        <f>12.1/16</f>
        <v>0.75624999999999998</v>
      </c>
      <c r="U170" s="35">
        <v>6.875</v>
      </c>
      <c r="V170" s="35">
        <v>3.1875</v>
      </c>
      <c r="W170" s="72">
        <v>7.875</v>
      </c>
      <c r="X170" s="46" t="s">
        <v>66</v>
      </c>
      <c r="Y170" s="35" t="s">
        <v>66</v>
      </c>
      <c r="Z170" s="35" t="s">
        <v>66</v>
      </c>
      <c r="AA170" s="72" t="s">
        <v>66</v>
      </c>
      <c r="AB170" s="46">
        <v>11.5</v>
      </c>
      <c r="AC170" s="35">
        <v>20</v>
      </c>
      <c r="AD170" s="35">
        <v>15</v>
      </c>
      <c r="AE170" s="72">
        <v>8</v>
      </c>
      <c r="AF170" s="44">
        <f>AC170*AD170*AE170/(12^3)</f>
        <v>1.3888888888888888</v>
      </c>
      <c r="AG170" s="161" t="s">
        <v>1573</v>
      </c>
      <c r="AH170" s="161" t="s">
        <v>1567</v>
      </c>
      <c r="AI170" s="161" t="s">
        <v>1568</v>
      </c>
      <c r="AJ170" s="161" t="s">
        <v>1569</v>
      </c>
      <c r="AK170" s="16" t="s">
        <v>1570</v>
      </c>
      <c r="AL170" s="161" t="s">
        <v>1571</v>
      </c>
      <c r="AM170" s="48"/>
      <c r="AN170" s="159"/>
      <c r="AO170" s="53" t="s">
        <v>1572</v>
      </c>
      <c r="AP170" s="161" t="s">
        <v>1247</v>
      </c>
      <c r="AQ170" s="48"/>
    </row>
    <row r="171" spans="1:43" s="16" customFormat="1" x14ac:dyDescent="0.25">
      <c r="A171" s="16" t="s">
        <v>152</v>
      </c>
      <c r="B171" s="143"/>
      <c r="C171" s="21" t="s">
        <v>606</v>
      </c>
      <c r="D171" s="21"/>
      <c r="E171" s="21" t="s">
        <v>1526</v>
      </c>
      <c r="G171" s="20" t="s">
        <v>1518</v>
      </c>
      <c r="H171" s="31" t="s">
        <v>605</v>
      </c>
      <c r="I171" s="30" t="s">
        <v>66</v>
      </c>
      <c r="J171" s="30" t="s">
        <v>1522</v>
      </c>
      <c r="K171" s="31" t="s">
        <v>1221</v>
      </c>
      <c r="L171" s="133" t="s">
        <v>325</v>
      </c>
      <c r="M171" s="691">
        <v>19.989999999999998</v>
      </c>
      <c r="N171" s="37">
        <v>1</v>
      </c>
      <c r="O171" s="77">
        <v>12</v>
      </c>
      <c r="P171" s="620">
        <v>0.8125</v>
      </c>
      <c r="Q171" s="621">
        <v>8.75</v>
      </c>
      <c r="R171" s="621">
        <v>8.75</v>
      </c>
      <c r="S171" s="623">
        <v>3.5</v>
      </c>
      <c r="T171" s="46">
        <f>17.9/16</f>
        <v>1.1187499999999999</v>
      </c>
      <c r="U171" s="35">
        <v>9.0625</v>
      </c>
      <c r="V171" s="35">
        <v>3.1875</v>
      </c>
      <c r="W171" s="72">
        <v>9.5</v>
      </c>
      <c r="X171" s="46" t="s">
        <v>66</v>
      </c>
      <c r="Y171" s="35" t="s">
        <v>66</v>
      </c>
      <c r="Z171" s="35" t="s">
        <v>66</v>
      </c>
      <c r="AA171" s="72" t="s">
        <v>66</v>
      </c>
      <c r="AB171" s="46">
        <v>16</v>
      </c>
      <c r="AC171" s="35">
        <v>21</v>
      </c>
      <c r="AD171" s="35">
        <v>19</v>
      </c>
      <c r="AE171" s="72">
        <v>10</v>
      </c>
      <c r="AF171" s="44">
        <f>AC171*AD171*AE171/(12^3)</f>
        <v>2.3090277777777777</v>
      </c>
      <c r="AG171" s="161" t="s">
        <v>1576</v>
      </c>
      <c r="AH171" s="161" t="s">
        <v>1567</v>
      </c>
      <c r="AI171" s="161" t="s">
        <v>1568</v>
      </c>
      <c r="AJ171" s="161" t="s">
        <v>1569</v>
      </c>
      <c r="AK171" s="16" t="s">
        <v>1570</v>
      </c>
      <c r="AL171" s="173" t="s">
        <v>1575</v>
      </c>
      <c r="AM171" s="161" t="s">
        <v>1577</v>
      </c>
      <c r="AN171" s="159"/>
      <c r="AO171" s="48" t="s">
        <v>1574</v>
      </c>
      <c r="AP171" s="161" t="s">
        <v>1247</v>
      </c>
      <c r="AQ171" s="48"/>
    </row>
    <row r="172" spans="1:43" x14ac:dyDescent="0.25">
      <c r="D172" s="39"/>
      <c r="O172" s="130"/>
      <c r="P172" s="620"/>
      <c r="Q172" s="621"/>
      <c r="R172" s="621"/>
      <c r="S172" s="634"/>
      <c r="T172" s="445"/>
      <c r="W172" s="130"/>
      <c r="X172" s="445"/>
      <c r="AA172" s="130"/>
      <c r="AB172" s="445"/>
      <c r="AE172" s="130"/>
      <c r="AF172" s="445"/>
    </row>
    <row r="173" spans="1:43" ht="15.6" x14ac:dyDescent="0.3">
      <c r="A173" s="799" t="s">
        <v>2863</v>
      </c>
      <c r="B173" s="799"/>
      <c r="C173" s="799"/>
      <c r="O173" s="130"/>
      <c r="P173" s="620"/>
      <c r="Q173" s="621"/>
      <c r="R173" s="621"/>
      <c r="S173" s="634"/>
      <c r="T173" s="445"/>
      <c r="W173" s="130"/>
      <c r="X173" s="445"/>
      <c r="AA173" s="130"/>
      <c r="AB173" s="445"/>
      <c r="AE173" s="130"/>
      <c r="AF173" s="445"/>
    </row>
    <row r="176" spans="1:43" x14ac:dyDescent="0.25">
      <c r="A176" s="20" t="s">
        <v>152</v>
      </c>
      <c r="B176" s="602">
        <v>42781</v>
      </c>
      <c r="C176" s="442" t="s">
        <v>2888</v>
      </c>
      <c r="E176" s="39" t="s">
        <v>2874</v>
      </c>
      <c r="F176" s="39" t="s">
        <v>68</v>
      </c>
      <c r="G176" s="22" t="s">
        <v>1518</v>
      </c>
      <c r="H176" s="610">
        <v>54269002329</v>
      </c>
      <c r="I176" s="30" t="s">
        <v>66</v>
      </c>
      <c r="J176" s="49">
        <v>20054269002323</v>
      </c>
      <c r="K176" s="38" t="s">
        <v>1221</v>
      </c>
      <c r="L176" s="47" t="s">
        <v>325</v>
      </c>
      <c r="M176" s="679">
        <v>39.99</v>
      </c>
      <c r="N176" s="22">
        <v>1</v>
      </c>
      <c r="O176" s="676">
        <v>12</v>
      </c>
      <c r="P176" s="621">
        <v>2</v>
      </c>
      <c r="Q176" s="621">
        <v>9.5</v>
      </c>
      <c r="R176" s="621">
        <v>7</v>
      </c>
      <c r="S176" s="622" t="s">
        <v>3109</v>
      </c>
      <c r="T176" s="92">
        <v>2.1</v>
      </c>
      <c r="U176" s="285">
        <v>9.5</v>
      </c>
      <c r="V176" s="285">
        <v>8</v>
      </c>
      <c r="W176" s="279">
        <v>1.5</v>
      </c>
      <c r="X176" s="403"/>
      <c r="Y176" s="178"/>
      <c r="Z176" s="178"/>
      <c r="AA176" s="231"/>
      <c r="AB176" s="403"/>
      <c r="AC176" s="178"/>
      <c r="AD176" s="178"/>
      <c r="AE176" s="231"/>
      <c r="AF176" s="403"/>
      <c r="AG176" s="39" t="s">
        <v>2788</v>
      </c>
      <c r="AH176" t="s">
        <v>2789</v>
      </c>
      <c r="AI176" t="s">
        <v>2790</v>
      </c>
      <c r="AJ176" t="s">
        <v>2791</v>
      </c>
      <c r="AK176" t="s">
        <v>2792</v>
      </c>
      <c r="AL176" s="178"/>
      <c r="AM176" s="178"/>
      <c r="AN176" s="178"/>
      <c r="AO176" s="640" t="s">
        <v>3164</v>
      </c>
      <c r="AP176" s="161" t="s">
        <v>1247</v>
      </c>
    </row>
    <row r="178" spans="1:42" x14ac:dyDescent="0.25">
      <c r="P178" s="621"/>
      <c r="Q178" s="621"/>
      <c r="R178" s="621"/>
    </row>
    <row r="179" spans="1:42" x14ac:dyDescent="0.25">
      <c r="P179" s="621"/>
      <c r="Q179" s="621"/>
      <c r="R179" s="621"/>
    </row>
    <row r="180" spans="1:42" x14ac:dyDescent="0.25">
      <c r="P180" s="621"/>
      <c r="Q180" s="621"/>
      <c r="R180" s="621"/>
    </row>
    <row r="181" spans="1:42" x14ac:dyDescent="0.25">
      <c r="P181" s="621"/>
      <c r="Q181" s="621"/>
      <c r="R181" s="621"/>
    </row>
    <row r="182" spans="1:42" x14ac:dyDescent="0.25">
      <c r="P182" s="621"/>
      <c r="Q182" s="621"/>
      <c r="R182" s="621"/>
    </row>
    <row r="183" spans="1:42" x14ac:dyDescent="0.25">
      <c r="P183" s="621"/>
      <c r="Q183" s="621"/>
      <c r="R183" s="621"/>
    </row>
    <row r="184" spans="1:42" ht="15.6" x14ac:dyDescent="0.3">
      <c r="A184" s="799" t="s">
        <v>3188</v>
      </c>
      <c r="B184" s="799"/>
      <c r="C184" s="799"/>
      <c r="P184" s="621"/>
      <c r="Q184" s="621"/>
      <c r="R184" s="621"/>
    </row>
    <row r="185" spans="1:42" s="706" customFormat="1" ht="13.95" customHeight="1" x14ac:dyDescent="0.25">
      <c r="A185" s="704" t="s">
        <v>152</v>
      </c>
      <c r="B185" s="705">
        <v>42705</v>
      </c>
      <c r="C185" s="706" t="s">
        <v>2868</v>
      </c>
      <c r="E185" s="706" t="s">
        <v>2871</v>
      </c>
      <c r="F185" s="706" t="s">
        <v>2656</v>
      </c>
      <c r="G185" s="706" t="s">
        <v>2890</v>
      </c>
      <c r="H185" s="715">
        <v>54269002268</v>
      </c>
      <c r="K185" s="707" t="s">
        <v>108</v>
      </c>
      <c r="L185" s="708" t="s">
        <v>325</v>
      </c>
      <c r="M185" s="709">
        <v>29.99</v>
      </c>
      <c r="O185" s="710"/>
      <c r="P185" s="711">
        <v>0.67</v>
      </c>
      <c r="Q185" s="711">
        <v>3.25</v>
      </c>
      <c r="R185" s="711">
        <v>3.75</v>
      </c>
      <c r="S185" s="712">
        <v>5</v>
      </c>
      <c r="T185" s="713"/>
      <c r="W185" s="713"/>
      <c r="X185" s="713"/>
      <c r="AA185" s="713"/>
      <c r="AB185" s="713"/>
      <c r="AE185" s="713"/>
      <c r="AF185" s="713"/>
      <c r="AO185" s="706" t="s">
        <v>2900</v>
      </c>
      <c r="AP185" s="714" t="s">
        <v>1247</v>
      </c>
    </row>
    <row r="186" spans="1:42" x14ac:dyDescent="0.25">
      <c r="P186" s="621"/>
      <c r="Q186" s="621"/>
      <c r="R186" s="621"/>
    </row>
    <row r="187" spans="1:42" x14ac:dyDescent="0.25">
      <c r="P187" s="621"/>
      <c r="Q187" s="621"/>
      <c r="R187" s="621"/>
    </row>
    <row r="188" spans="1:42" x14ac:dyDescent="0.25">
      <c r="P188" s="621"/>
      <c r="Q188" s="621"/>
      <c r="R188" s="621"/>
    </row>
    <row r="189" spans="1:42" x14ac:dyDescent="0.25">
      <c r="P189" s="621"/>
      <c r="Q189" s="621"/>
      <c r="R189" s="621"/>
    </row>
    <row r="190" spans="1:42" x14ac:dyDescent="0.25">
      <c r="P190" s="621"/>
      <c r="Q190" s="621"/>
      <c r="R190" s="621"/>
    </row>
    <row r="191" spans="1:42" x14ac:dyDescent="0.25">
      <c r="P191" s="621"/>
      <c r="Q191" s="621"/>
      <c r="R191" s="621"/>
    </row>
    <row r="192" spans="1:42" x14ac:dyDescent="0.25">
      <c r="P192" s="621"/>
      <c r="Q192" s="621"/>
      <c r="R192" s="621"/>
    </row>
    <row r="193" spans="16:18" x14ac:dyDescent="0.25">
      <c r="P193" s="621"/>
      <c r="Q193" s="621"/>
      <c r="R193" s="621"/>
    </row>
    <row r="194" spans="16:18" x14ac:dyDescent="0.25">
      <c r="P194" s="621"/>
      <c r="Q194" s="621"/>
      <c r="R194" s="621"/>
    </row>
    <row r="195" spans="16:18" x14ac:dyDescent="0.25">
      <c r="P195" s="621"/>
      <c r="Q195" s="621"/>
      <c r="R195" s="621"/>
    </row>
    <row r="196" spans="16:18" x14ac:dyDescent="0.25">
      <c r="P196" s="621"/>
      <c r="Q196" s="621"/>
      <c r="R196" s="621"/>
    </row>
    <row r="197" spans="16:18" x14ac:dyDescent="0.25">
      <c r="P197" s="621"/>
      <c r="Q197" s="621"/>
      <c r="R197" s="621"/>
    </row>
    <row r="198" spans="16:18" x14ac:dyDescent="0.25">
      <c r="P198" s="621"/>
      <c r="Q198" s="621"/>
      <c r="R198" s="621"/>
    </row>
    <row r="199" spans="16:18" x14ac:dyDescent="0.25">
      <c r="P199" s="621"/>
      <c r="Q199" s="621"/>
      <c r="R199" s="621"/>
    </row>
    <row r="200" spans="16:18" x14ac:dyDescent="0.25">
      <c r="P200" s="621"/>
      <c r="Q200" s="621"/>
      <c r="R200" s="621"/>
    </row>
    <row r="201" spans="16:18" x14ac:dyDescent="0.25">
      <c r="P201" s="621"/>
      <c r="Q201" s="621"/>
      <c r="R201" s="621"/>
    </row>
    <row r="202" spans="16:18" x14ac:dyDescent="0.25">
      <c r="P202" s="621"/>
      <c r="Q202" s="621"/>
      <c r="R202" s="621"/>
    </row>
    <row r="203" spans="16:18" x14ac:dyDescent="0.25">
      <c r="P203" s="621"/>
      <c r="Q203" s="621"/>
      <c r="R203" s="621"/>
    </row>
    <row r="204" spans="16:18" x14ac:dyDescent="0.25">
      <c r="P204" s="621"/>
      <c r="Q204" s="621"/>
      <c r="R204" s="621"/>
    </row>
    <row r="205" spans="16:18" x14ac:dyDescent="0.25">
      <c r="P205" s="621"/>
      <c r="Q205" s="621"/>
      <c r="R205" s="621"/>
    </row>
    <row r="206" spans="16:18" x14ac:dyDescent="0.25">
      <c r="P206" s="621"/>
      <c r="Q206" s="621"/>
      <c r="R206" s="621"/>
    </row>
    <row r="207" spans="16:18" x14ac:dyDescent="0.25">
      <c r="P207" s="621"/>
      <c r="Q207" s="621"/>
      <c r="R207" s="621"/>
    </row>
    <row r="208" spans="16:18" x14ac:dyDescent="0.25">
      <c r="P208" s="621"/>
      <c r="Q208" s="621"/>
      <c r="R208" s="621"/>
    </row>
    <row r="209" spans="16:18" x14ac:dyDescent="0.25">
      <c r="P209" s="621"/>
      <c r="Q209" s="621"/>
      <c r="R209" s="621"/>
    </row>
    <row r="210" spans="16:18" x14ac:dyDescent="0.25">
      <c r="P210" s="621"/>
      <c r="Q210" s="621"/>
      <c r="R210" s="621"/>
    </row>
    <row r="211" spans="16:18" x14ac:dyDescent="0.25">
      <c r="P211" s="621"/>
      <c r="Q211" s="621"/>
      <c r="R211" s="621"/>
    </row>
    <row r="212" spans="16:18" x14ac:dyDescent="0.25">
      <c r="P212" s="621"/>
      <c r="Q212" s="621"/>
      <c r="R212" s="621"/>
    </row>
    <row r="213" spans="16:18" x14ac:dyDescent="0.25">
      <c r="P213" s="621"/>
      <c r="Q213" s="621"/>
      <c r="R213" s="621"/>
    </row>
    <row r="214" spans="16:18" x14ac:dyDescent="0.25">
      <c r="P214" s="621"/>
      <c r="Q214" s="621"/>
      <c r="R214" s="621"/>
    </row>
    <row r="215" spans="16:18" x14ac:dyDescent="0.25">
      <c r="P215" s="621"/>
      <c r="Q215" s="621"/>
      <c r="R215" s="621"/>
    </row>
    <row r="216" spans="16:18" x14ac:dyDescent="0.25">
      <c r="P216" s="621"/>
      <c r="Q216" s="621"/>
      <c r="R216" s="621"/>
    </row>
    <row r="217" spans="16:18" x14ac:dyDescent="0.25">
      <c r="P217" s="621"/>
      <c r="Q217" s="621"/>
      <c r="R217" s="621"/>
    </row>
    <row r="218" spans="16:18" x14ac:dyDescent="0.25">
      <c r="P218" s="621"/>
      <c r="Q218" s="621"/>
      <c r="R218" s="621"/>
    </row>
    <row r="219" spans="16:18" x14ac:dyDescent="0.25">
      <c r="P219" s="621"/>
      <c r="Q219" s="621"/>
      <c r="R219" s="621"/>
    </row>
    <row r="220" spans="16:18" x14ac:dyDescent="0.25">
      <c r="P220" s="621"/>
      <c r="Q220" s="621"/>
      <c r="R220" s="621"/>
    </row>
    <row r="221" spans="16:18" x14ac:dyDescent="0.25">
      <c r="P221" s="621"/>
      <c r="Q221" s="621"/>
      <c r="R221" s="621"/>
    </row>
    <row r="222" spans="16:18" x14ac:dyDescent="0.25">
      <c r="P222" s="621"/>
      <c r="Q222" s="621"/>
      <c r="R222" s="621"/>
    </row>
    <row r="223" spans="16:18" x14ac:dyDescent="0.25">
      <c r="P223" s="621"/>
      <c r="Q223" s="621"/>
      <c r="R223" s="621"/>
    </row>
    <row r="224" spans="16:18" x14ac:dyDescent="0.25">
      <c r="P224" s="621"/>
      <c r="Q224" s="621"/>
      <c r="R224" s="621"/>
    </row>
    <row r="225" spans="16:18" x14ac:dyDescent="0.25">
      <c r="P225" s="621"/>
      <c r="Q225" s="621"/>
      <c r="R225" s="621"/>
    </row>
    <row r="226" spans="16:18" x14ac:dyDescent="0.25">
      <c r="P226" s="621"/>
      <c r="Q226" s="621"/>
      <c r="R226" s="621"/>
    </row>
    <row r="227" spans="16:18" x14ac:dyDescent="0.25">
      <c r="P227" s="621"/>
      <c r="Q227" s="621"/>
      <c r="R227" s="621"/>
    </row>
    <row r="228" spans="16:18" x14ac:dyDescent="0.25">
      <c r="P228" s="621"/>
      <c r="Q228" s="621"/>
      <c r="R228" s="621"/>
    </row>
    <row r="229" spans="16:18" x14ac:dyDescent="0.25">
      <c r="P229" s="621"/>
      <c r="Q229" s="621"/>
      <c r="R229" s="621"/>
    </row>
    <row r="230" spans="16:18" x14ac:dyDescent="0.25">
      <c r="P230" s="621"/>
      <c r="Q230" s="621"/>
      <c r="R230" s="621"/>
    </row>
    <row r="231" spans="16:18" x14ac:dyDescent="0.25">
      <c r="P231" s="621"/>
      <c r="Q231" s="621"/>
      <c r="R231" s="621"/>
    </row>
    <row r="232" spans="16:18" x14ac:dyDescent="0.25">
      <c r="P232" s="621"/>
      <c r="Q232" s="621"/>
      <c r="R232" s="621"/>
    </row>
    <row r="233" spans="16:18" x14ac:dyDescent="0.25">
      <c r="P233" s="621"/>
      <c r="Q233" s="621"/>
      <c r="R233" s="621"/>
    </row>
    <row r="234" spans="16:18" x14ac:dyDescent="0.25">
      <c r="P234" s="621"/>
      <c r="Q234" s="621"/>
      <c r="R234" s="621"/>
    </row>
    <row r="235" spans="16:18" x14ac:dyDescent="0.25">
      <c r="P235" s="621"/>
      <c r="Q235" s="621"/>
      <c r="R235" s="621"/>
    </row>
    <row r="236" spans="16:18" x14ac:dyDescent="0.25">
      <c r="P236" s="621"/>
      <c r="Q236" s="621"/>
      <c r="R236" s="621"/>
    </row>
    <row r="237" spans="16:18" x14ac:dyDescent="0.25">
      <c r="P237" s="621"/>
      <c r="Q237" s="621"/>
      <c r="R237" s="621"/>
    </row>
    <row r="238" spans="16:18" x14ac:dyDescent="0.25">
      <c r="P238" s="621"/>
      <c r="Q238" s="621"/>
      <c r="R238" s="621"/>
    </row>
    <row r="239" spans="16:18" x14ac:dyDescent="0.25">
      <c r="P239" s="621"/>
      <c r="Q239" s="621"/>
      <c r="R239" s="621"/>
    </row>
    <row r="240" spans="16:18" x14ac:dyDescent="0.25">
      <c r="P240" s="621"/>
      <c r="Q240" s="621"/>
      <c r="R240" s="621"/>
    </row>
    <row r="241" spans="16:18" x14ac:dyDescent="0.25">
      <c r="P241" s="621"/>
      <c r="Q241" s="621"/>
      <c r="R241" s="621"/>
    </row>
    <row r="242" spans="16:18" x14ac:dyDescent="0.25">
      <c r="P242" s="621"/>
      <c r="Q242" s="621"/>
      <c r="R242" s="621"/>
    </row>
    <row r="243" spans="16:18" ht="15" x14ac:dyDescent="0.25">
      <c r="P243" s="636"/>
      <c r="Q243" s="636"/>
      <c r="R243" s="636"/>
    </row>
    <row r="244" spans="16:18" x14ac:dyDescent="0.25">
      <c r="P244" s="621"/>
      <c r="Q244" s="621"/>
      <c r="R244" s="621"/>
    </row>
    <row r="245" spans="16:18" x14ac:dyDescent="0.25">
      <c r="P245" s="621"/>
      <c r="Q245" s="621"/>
      <c r="R245" s="621"/>
    </row>
    <row r="246" spans="16:18" x14ac:dyDescent="0.25">
      <c r="P246" s="621"/>
      <c r="Q246" s="621"/>
      <c r="R246" s="621"/>
    </row>
    <row r="247" spans="16:18" x14ac:dyDescent="0.25">
      <c r="P247" s="621"/>
      <c r="Q247" s="621"/>
      <c r="R247" s="621"/>
    </row>
    <row r="248" spans="16:18" x14ac:dyDescent="0.25">
      <c r="P248" s="621"/>
      <c r="Q248" s="621"/>
      <c r="R248" s="621"/>
    </row>
    <row r="249" spans="16:18" x14ac:dyDescent="0.25">
      <c r="P249" s="621"/>
      <c r="Q249" s="621"/>
      <c r="R249" s="621"/>
    </row>
    <row r="250" spans="16:18" x14ac:dyDescent="0.25">
      <c r="P250" s="621"/>
      <c r="Q250" s="621"/>
      <c r="R250" s="621"/>
    </row>
    <row r="251" spans="16:18" x14ac:dyDescent="0.25">
      <c r="P251" s="621"/>
      <c r="Q251" s="621"/>
      <c r="R251" s="621"/>
    </row>
    <row r="252" spans="16:18" ht="15" x14ac:dyDescent="0.25">
      <c r="P252" s="636"/>
      <c r="Q252" s="636"/>
      <c r="R252" s="636"/>
    </row>
    <row r="253" spans="16:18" x14ac:dyDescent="0.25">
      <c r="P253" s="621"/>
      <c r="Q253" s="621"/>
      <c r="R253" s="621"/>
    </row>
    <row r="254" spans="16:18" x14ac:dyDescent="0.25">
      <c r="P254" s="621"/>
      <c r="Q254" s="621"/>
      <c r="R254" s="621"/>
    </row>
    <row r="255" spans="16:18" ht="15" x14ac:dyDescent="0.25">
      <c r="P255" s="636"/>
      <c r="Q255" s="636"/>
      <c r="R255" s="636"/>
    </row>
    <row r="256" spans="16:18" x14ac:dyDescent="0.25">
      <c r="P256" s="621"/>
      <c r="Q256" s="621"/>
      <c r="R256" s="621"/>
    </row>
    <row r="257" spans="16:18" x14ac:dyDescent="0.25">
      <c r="P257" s="621"/>
      <c r="Q257" s="621"/>
      <c r="R257" s="621"/>
    </row>
    <row r="258" spans="16:18" x14ac:dyDescent="0.25">
      <c r="P258" s="621"/>
      <c r="Q258" s="621"/>
      <c r="R258" s="621"/>
    </row>
    <row r="259" spans="16:18" x14ac:dyDescent="0.25">
      <c r="P259" s="621"/>
      <c r="Q259" s="621"/>
      <c r="R259" s="621"/>
    </row>
    <row r="260" spans="16:18" ht="15" x14ac:dyDescent="0.25">
      <c r="P260" s="636"/>
      <c r="Q260" s="636"/>
      <c r="R260" s="636"/>
    </row>
    <row r="261" spans="16:18" x14ac:dyDescent="0.25">
      <c r="P261" s="621"/>
      <c r="Q261" s="621"/>
      <c r="R261" s="621"/>
    </row>
    <row r="262" spans="16:18" x14ac:dyDescent="0.25">
      <c r="P262" s="621"/>
      <c r="Q262" s="621"/>
      <c r="R262" s="621"/>
    </row>
    <row r="263" spans="16:18" x14ac:dyDescent="0.25">
      <c r="P263" s="621"/>
      <c r="Q263" s="621"/>
      <c r="R263" s="621"/>
    </row>
    <row r="264" spans="16:18" x14ac:dyDescent="0.25">
      <c r="P264" s="621"/>
      <c r="Q264" s="621"/>
      <c r="R264" s="621"/>
    </row>
    <row r="265" spans="16:18" x14ac:dyDescent="0.25">
      <c r="P265" s="621"/>
      <c r="Q265" s="621"/>
      <c r="R265" s="621"/>
    </row>
    <row r="266" spans="16:18" x14ac:dyDescent="0.25">
      <c r="P266" s="621"/>
      <c r="Q266" s="621"/>
      <c r="R266" s="621"/>
    </row>
    <row r="267" spans="16:18" x14ac:dyDescent="0.25">
      <c r="P267" s="621"/>
      <c r="Q267" s="621"/>
      <c r="R267" s="621"/>
    </row>
    <row r="268" spans="16:18" x14ac:dyDescent="0.25">
      <c r="P268" s="621"/>
      <c r="Q268" s="621"/>
      <c r="R268" s="621"/>
    </row>
    <row r="269" spans="16:18" x14ac:dyDescent="0.25">
      <c r="P269" s="621"/>
      <c r="Q269" s="621"/>
      <c r="R269" s="621"/>
    </row>
    <row r="270" spans="16:18" x14ac:dyDescent="0.25">
      <c r="P270" s="621"/>
      <c r="Q270" s="621"/>
      <c r="R270" s="621"/>
    </row>
    <row r="271" spans="16:18" x14ac:dyDescent="0.25">
      <c r="P271" s="621"/>
      <c r="Q271" s="621"/>
      <c r="R271" s="621"/>
    </row>
    <row r="272" spans="16:18" ht="15" x14ac:dyDescent="0.25">
      <c r="P272" s="636"/>
      <c r="Q272" s="636"/>
      <c r="R272" s="636"/>
    </row>
    <row r="273" spans="16:18" x14ac:dyDescent="0.25">
      <c r="P273" s="621"/>
      <c r="Q273" s="621"/>
      <c r="R273" s="621"/>
    </row>
    <row r="274" spans="16:18" x14ac:dyDescent="0.25">
      <c r="P274" s="621"/>
      <c r="Q274" s="621"/>
      <c r="R274" s="621"/>
    </row>
    <row r="275" spans="16:18" x14ac:dyDescent="0.25">
      <c r="P275" s="621"/>
      <c r="Q275" s="621"/>
      <c r="R275" s="621"/>
    </row>
    <row r="276" spans="16:18" x14ac:dyDescent="0.25">
      <c r="P276" s="621"/>
      <c r="Q276" s="621"/>
      <c r="R276" s="621"/>
    </row>
    <row r="277" spans="16:18" x14ac:dyDescent="0.25">
      <c r="P277" s="621"/>
      <c r="Q277" s="621"/>
      <c r="R277" s="621"/>
    </row>
    <row r="278" spans="16:18" x14ac:dyDescent="0.25">
      <c r="P278" s="621"/>
      <c r="Q278" s="621"/>
      <c r="R278" s="621"/>
    </row>
    <row r="279" spans="16:18" x14ac:dyDescent="0.25">
      <c r="P279" s="621"/>
      <c r="Q279" s="621"/>
      <c r="R279" s="621"/>
    </row>
    <row r="280" spans="16:18" x14ac:dyDescent="0.25">
      <c r="P280" s="621"/>
      <c r="Q280" s="621"/>
      <c r="R280" s="621"/>
    </row>
    <row r="281" spans="16:18" x14ac:dyDescent="0.25">
      <c r="P281" s="621"/>
      <c r="Q281" s="621"/>
      <c r="R281" s="621"/>
    </row>
    <row r="282" spans="16:18" x14ac:dyDescent="0.25">
      <c r="P282" s="621"/>
      <c r="Q282" s="621"/>
      <c r="R282" s="621"/>
    </row>
    <row r="283" spans="16:18" x14ac:dyDescent="0.25">
      <c r="P283" s="621"/>
      <c r="Q283" s="621"/>
      <c r="R283" s="621"/>
    </row>
    <row r="284" spans="16:18" x14ac:dyDescent="0.25">
      <c r="P284" s="621"/>
      <c r="Q284" s="621"/>
      <c r="R284" s="621"/>
    </row>
    <row r="285" spans="16:18" x14ac:dyDescent="0.25">
      <c r="P285" s="621"/>
      <c r="Q285" s="621"/>
      <c r="R285" s="621"/>
    </row>
    <row r="286" spans="16:18" x14ac:dyDescent="0.25">
      <c r="P286" s="621"/>
      <c r="Q286" s="621"/>
      <c r="R286" s="621"/>
    </row>
    <row r="287" spans="16:18" x14ac:dyDescent="0.25">
      <c r="P287" s="621"/>
      <c r="Q287" s="621"/>
      <c r="R287" s="621"/>
    </row>
    <row r="288" spans="16:18" x14ac:dyDescent="0.25">
      <c r="P288" s="621"/>
      <c r="Q288" s="621"/>
      <c r="R288" s="621"/>
    </row>
    <row r="289" spans="16:18" x14ac:dyDescent="0.25">
      <c r="P289" s="621"/>
      <c r="Q289" s="621"/>
      <c r="R289" s="621"/>
    </row>
    <row r="290" spans="16:18" x14ac:dyDescent="0.25">
      <c r="P290" s="621"/>
      <c r="Q290" s="621"/>
      <c r="R290" s="621"/>
    </row>
    <row r="291" spans="16:18" x14ac:dyDescent="0.25">
      <c r="P291" s="621"/>
      <c r="Q291" s="621"/>
      <c r="R291" s="621"/>
    </row>
    <row r="292" spans="16:18" x14ac:dyDescent="0.25">
      <c r="P292" s="621"/>
      <c r="Q292" s="621"/>
      <c r="R292" s="621"/>
    </row>
    <row r="293" spans="16:18" x14ac:dyDescent="0.25">
      <c r="P293" s="621"/>
      <c r="Q293" s="621"/>
      <c r="R293" s="621"/>
    </row>
    <row r="294" spans="16:18" x14ac:dyDescent="0.25">
      <c r="P294" s="621"/>
      <c r="Q294" s="621"/>
      <c r="R294" s="621"/>
    </row>
    <row r="295" spans="16:18" x14ac:dyDescent="0.25">
      <c r="P295" s="621"/>
      <c r="Q295" s="621"/>
      <c r="R295" s="621"/>
    </row>
    <row r="296" spans="16:18" x14ac:dyDescent="0.25">
      <c r="P296" s="621"/>
      <c r="Q296" s="621"/>
      <c r="R296" s="621"/>
    </row>
    <row r="297" spans="16:18" x14ac:dyDescent="0.25">
      <c r="P297" s="621"/>
      <c r="Q297" s="621"/>
      <c r="R297" s="621"/>
    </row>
    <row r="298" spans="16:18" x14ac:dyDescent="0.25">
      <c r="P298" s="637"/>
      <c r="Q298" s="638"/>
      <c r="R298" s="638"/>
    </row>
    <row r="299" spans="16:18" x14ac:dyDescent="0.25">
      <c r="P299" s="637"/>
      <c r="Q299" s="638"/>
      <c r="R299" s="638"/>
    </row>
    <row r="300" spans="16:18" x14ac:dyDescent="0.25">
      <c r="P300" s="637"/>
      <c r="Q300" s="638"/>
      <c r="R300" s="638"/>
    </row>
    <row r="301" spans="16:18" x14ac:dyDescent="0.25">
      <c r="P301" s="637"/>
      <c r="Q301" s="638"/>
      <c r="R301" s="638"/>
    </row>
    <row r="302" spans="16:18" x14ac:dyDescent="0.25">
      <c r="P302" s="637"/>
      <c r="Q302" s="638"/>
      <c r="R302" s="638"/>
    </row>
    <row r="303" spans="16:18" x14ac:dyDescent="0.25">
      <c r="P303" s="637"/>
      <c r="Q303" s="638"/>
      <c r="R303" s="638"/>
    </row>
    <row r="304" spans="16:18" x14ac:dyDescent="0.25">
      <c r="P304" s="637"/>
      <c r="Q304" s="638"/>
      <c r="R304" s="638"/>
    </row>
    <row r="305" spans="16:18" x14ac:dyDescent="0.25">
      <c r="P305" s="637"/>
      <c r="Q305" s="638"/>
      <c r="R305" s="638"/>
    </row>
    <row r="306" spans="16:18" x14ac:dyDescent="0.25">
      <c r="P306" s="637"/>
      <c r="Q306" s="638"/>
      <c r="R306" s="638"/>
    </row>
    <row r="307" spans="16:18" x14ac:dyDescent="0.25">
      <c r="P307" s="637"/>
      <c r="Q307" s="638"/>
      <c r="R307" s="638"/>
    </row>
    <row r="308" spans="16:18" x14ac:dyDescent="0.25">
      <c r="P308" s="637"/>
      <c r="Q308" s="638"/>
      <c r="R308" s="638"/>
    </row>
    <row r="309" spans="16:18" x14ac:dyDescent="0.25">
      <c r="P309" s="637"/>
      <c r="Q309" s="638"/>
      <c r="R309" s="638"/>
    </row>
    <row r="310" spans="16:18" x14ac:dyDescent="0.25">
      <c r="P310" s="637"/>
      <c r="Q310" s="638"/>
      <c r="R310" s="638"/>
    </row>
    <row r="311" spans="16:18" x14ac:dyDescent="0.25">
      <c r="P311" s="621"/>
      <c r="Q311" s="621"/>
      <c r="R311" s="621"/>
    </row>
    <row r="312" spans="16:18" x14ac:dyDescent="0.25">
      <c r="P312" s="621"/>
      <c r="Q312" s="621"/>
      <c r="R312" s="621"/>
    </row>
    <row r="313" spans="16:18" x14ac:dyDescent="0.25">
      <c r="P313" s="621"/>
      <c r="Q313" s="621"/>
      <c r="R313" s="621"/>
    </row>
    <row r="314" spans="16:18" x14ac:dyDescent="0.25">
      <c r="P314" s="621"/>
      <c r="Q314" s="621"/>
      <c r="R314" s="621"/>
    </row>
    <row r="315" spans="16:18" x14ac:dyDescent="0.25">
      <c r="P315" s="621"/>
      <c r="Q315" s="621"/>
      <c r="R315" s="621"/>
    </row>
    <row r="316" spans="16:18" x14ac:dyDescent="0.25">
      <c r="P316" s="621"/>
      <c r="Q316" s="621"/>
      <c r="R316" s="621"/>
    </row>
    <row r="317" spans="16:18" x14ac:dyDescent="0.25">
      <c r="P317" s="621"/>
      <c r="Q317" s="621"/>
      <c r="R317" s="621"/>
    </row>
    <row r="318" spans="16:18" x14ac:dyDescent="0.25">
      <c r="P318" s="621"/>
      <c r="Q318" s="621"/>
      <c r="R318" s="621"/>
    </row>
    <row r="319" spans="16:18" x14ac:dyDescent="0.25">
      <c r="P319" s="621"/>
      <c r="Q319" s="621"/>
      <c r="R319" s="621"/>
    </row>
    <row r="320" spans="16:18" x14ac:dyDescent="0.25">
      <c r="P320" s="621"/>
      <c r="Q320" s="621"/>
      <c r="R320" s="621"/>
    </row>
    <row r="321" spans="16:18" x14ac:dyDescent="0.25">
      <c r="P321" s="637"/>
      <c r="Q321" s="638"/>
      <c r="R321" s="638"/>
    </row>
    <row r="322" spans="16:18" x14ac:dyDescent="0.25">
      <c r="P322" s="637"/>
      <c r="Q322" s="638"/>
      <c r="R322" s="638"/>
    </row>
    <row r="323" spans="16:18" x14ac:dyDescent="0.25">
      <c r="P323" s="637"/>
      <c r="Q323" s="638"/>
      <c r="R323" s="638"/>
    </row>
    <row r="324" spans="16:18" x14ac:dyDescent="0.25">
      <c r="P324" s="637"/>
      <c r="Q324" s="638"/>
      <c r="R324" s="638"/>
    </row>
    <row r="325" spans="16:18" x14ac:dyDescent="0.25">
      <c r="P325" s="637"/>
      <c r="Q325" s="638"/>
      <c r="R325" s="638"/>
    </row>
    <row r="326" spans="16:18" x14ac:dyDescent="0.25">
      <c r="P326" s="637"/>
      <c r="Q326" s="638"/>
      <c r="R326" s="638"/>
    </row>
  </sheetData>
  <mergeCells count="20">
    <mergeCell ref="A3:C3"/>
    <mergeCell ref="A87:C87"/>
    <mergeCell ref="A166:C166"/>
    <mergeCell ref="A19:C19"/>
    <mergeCell ref="A9:C9"/>
    <mergeCell ref="A4:C4"/>
    <mergeCell ref="A47:C47"/>
    <mergeCell ref="A54:C54"/>
    <mergeCell ref="A148:C148"/>
    <mergeCell ref="A31:C31"/>
    <mergeCell ref="A37:C37"/>
    <mergeCell ref="A116:C116"/>
    <mergeCell ref="A45:C45"/>
    <mergeCell ref="A161:C161"/>
    <mergeCell ref="A33:C33"/>
    <mergeCell ref="A70:C70"/>
    <mergeCell ref="A17:C17"/>
    <mergeCell ref="A84:C84"/>
    <mergeCell ref="A184:C184"/>
    <mergeCell ref="A173:C173"/>
  </mergeCells>
  <dataValidations disablePrompts="1" count="1">
    <dataValidation allowBlank="1" showErrorMessage="1" sqref="I2:J2"/>
  </dataValidations>
  <pageMargins left="0.25" right="0.25" top="0.25" bottom="0.25" header="0.3" footer="0.3"/>
  <pageSetup paperSize="3" scale="24" fitToHeight="0" orientation="landscape" r:id="rId1"/>
  <ignoredErrors>
    <ignoredError sqref="H168:H171 H58:H68 H107:H108 H10:H16 H32 J168:J171 H134:H136 H131:J133 H137:J138 H105:J106 H20:H29 H53:H54 H30:J30 H87:H102 I144:J144 J58:J59 J71:J72 H18:J18 I34:J36 H139:H144 H149:J154 I139:J139 I97:J97 I99:J101 I27:J29 H5:J8 H71:H82 H145:J146 H130 I88:J94 H34:H51 H166 H124:H126 H116 H104" numberStoredAsText="1"/>
    <ignoredError sqref="AF47 AF34:AF37 AF5:AF16 AF71:AF73 AF168:AF171 AF54:AF62 AB55:AE55 AF75 X144:AA144 AB140:AF144 AF20:AF30 T136:AE137 X149:AF154 T169:AE171 P99 P87 P105 X105 T131:T133 X131:X133 X138:X139 AC138:AE138 T168 V168:AE168 AC131:AE133 AF87:AF102 AF18 P92:P97 T105 AB72:AE75 X145 T138:T139 X146:AF146 P142:P154 P5:P20 AB56 T60 AB105:AE106 T124:T126 P130:P140 AF130:AF139 T34:T36 P53:P79 T46 T88 X88:X91 T93 X93 T95:X96 T97 X97 T99:T100 X99:X100 P22:P51 P81:P82 P168:P173 P166 AF166 P124:P126 P115:P116 P107:P108 AF104:AF108" unlockedFormula="1"/>
    <ignoredError sqref="P21 P80 P141 AB145 Y145:AA145 AC145:AF145" formula="1"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75"/>
  <sheetViews>
    <sheetView zoomScaleNormal="100" workbookViewId="0">
      <pane xSplit="6" ySplit="2" topLeftCell="L195" activePane="bottomRight" state="frozenSplit"/>
      <selection pane="topRight" activeCell="F1" sqref="F1"/>
      <selection pane="bottomLeft"/>
      <selection pane="bottomRight" activeCell="N1" sqref="N1:N1048576"/>
    </sheetView>
  </sheetViews>
  <sheetFormatPr defaultColWidth="9.33203125" defaultRowHeight="13.2" x14ac:dyDescent="0.25"/>
  <cols>
    <col min="1" max="1" width="12.5546875" style="22" customWidth="1"/>
    <col min="2" max="2" width="10.88671875" style="22" bestFit="1" customWidth="1"/>
    <col min="3" max="3" width="21.33203125" style="22" customWidth="1"/>
    <col min="4" max="4" width="13.5546875" style="22" customWidth="1"/>
    <col min="5" max="5" width="56.6640625" style="22" bestFit="1" customWidth="1"/>
    <col min="6" max="6" width="21" style="22" customWidth="1"/>
    <col min="7" max="7" width="15.5546875" style="22" customWidth="1"/>
    <col min="8" max="8" width="14.6640625" style="12" customWidth="1"/>
    <col min="9" max="9" width="14.44140625" style="12" customWidth="1"/>
    <col min="10" max="10" width="15.6640625" style="12" customWidth="1"/>
    <col min="11" max="11" width="16.6640625" style="12" customWidth="1"/>
    <col min="12" max="12" width="13.33203125" style="22" customWidth="1"/>
    <col min="13" max="13" width="10.44140625" style="12" customWidth="1"/>
    <col min="14" max="14" width="11.33203125" style="22" customWidth="1"/>
    <col min="15" max="15" width="6.5546875" style="22" customWidth="1"/>
    <col min="16" max="16" width="6.33203125" style="130" customWidth="1"/>
    <col min="17" max="19" width="11.6640625" style="285" customWidth="1"/>
    <col min="20" max="20" width="11.6640625" style="288" customWidth="1"/>
    <col min="21" max="21" width="11.6640625" style="443" customWidth="1"/>
    <col min="22" max="23" width="11.6640625" style="285" customWidth="1"/>
    <col min="24" max="24" width="11.6640625" style="288" customWidth="1"/>
    <col min="25" max="25" width="11.6640625" style="443" customWidth="1"/>
    <col min="26" max="27" width="11.6640625" style="285" customWidth="1"/>
    <col min="28" max="28" width="11.6640625" style="288" customWidth="1"/>
    <col min="29" max="29" width="11.6640625" style="443" customWidth="1"/>
    <col min="30" max="31" width="11.6640625" style="285" customWidth="1"/>
    <col min="32" max="32" width="11.6640625" style="288" customWidth="1"/>
    <col min="33" max="33" width="10.33203125" style="445" customWidth="1"/>
    <col min="34" max="44" width="15.6640625" style="22" customWidth="1"/>
    <col min="45" max="16384" width="9.33203125" style="22"/>
  </cols>
  <sheetData>
    <row r="1" spans="1:44" s="28" customFormat="1" ht="57" customHeight="1" thickBot="1" x14ac:dyDescent="0.3">
      <c r="H1" s="392"/>
      <c r="I1" s="392"/>
      <c r="J1" s="392"/>
      <c r="K1" s="392"/>
      <c r="M1" s="392"/>
      <c r="Q1" s="92"/>
      <c r="R1" s="92"/>
      <c r="S1" s="92"/>
      <c r="T1" s="394"/>
      <c r="U1" s="394"/>
      <c r="V1" s="92"/>
      <c r="W1" s="92"/>
      <c r="X1" s="394"/>
      <c r="Y1" s="394"/>
      <c r="Z1" s="92"/>
      <c r="AA1" s="92"/>
      <c r="AB1" s="394"/>
      <c r="AC1" s="394"/>
      <c r="AD1" s="92"/>
      <c r="AE1" s="92"/>
      <c r="AF1" s="394"/>
      <c r="AG1" s="280"/>
    </row>
    <row r="2" spans="1:44" s="323" customFormat="1" ht="41.4" thickBot="1" x14ac:dyDescent="0.25">
      <c r="A2" s="388" t="s">
        <v>19</v>
      </c>
      <c r="B2" s="375" t="s">
        <v>1444</v>
      </c>
      <c r="C2" s="386" t="s">
        <v>26</v>
      </c>
      <c r="D2" s="386" t="s">
        <v>11</v>
      </c>
      <c r="E2" s="386" t="s">
        <v>12</v>
      </c>
      <c r="F2" s="386" t="s">
        <v>13</v>
      </c>
      <c r="G2" s="386" t="s">
        <v>1484</v>
      </c>
      <c r="H2" s="386" t="s">
        <v>115</v>
      </c>
      <c r="I2" s="378" t="s">
        <v>1699</v>
      </c>
      <c r="J2" s="378" t="s">
        <v>1701</v>
      </c>
      <c r="K2" s="378" t="s">
        <v>1702</v>
      </c>
      <c r="L2" s="386" t="s">
        <v>67</v>
      </c>
      <c r="M2" s="446" t="s">
        <v>324</v>
      </c>
      <c r="N2" s="386" t="s">
        <v>20</v>
      </c>
      <c r="O2" s="386" t="s">
        <v>6</v>
      </c>
      <c r="P2" s="395" t="s">
        <v>7</v>
      </c>
      <c r="Q2" s="382" t="s">
        <v>1481</v>
      </c>
      <c r="R2" s="376" t="s">
        <v>1730</v>
      </c>
      <c r="S2" s="376" t="s">
        <v>1482</v>
      </c>
      <c r="T2" s="381" t="s">
        <v>1483</v>
      </c>
      <c r="U2" s="382" t="s">
        <v>1434</v>
      </c>
      <c r="V2" s="376" t="s">
        <v>1731</v>
      </c>
      <c r="W2" s="376" t="s">
        <v>1435</v>
      </c>
      <c r="X2" s="381" t="s">
        <v>1436</v>
      </c>
      <c r="Y2" s="382" t="s">
        <v>1437</v>
      </c>
      <c r="Z2" s="376" t="s">
        <v>1732</v>
      </c>
      <c r="AA2" s="376" t="s">
        <v>1438</v>
      </c>
      <c r="AB2" s="381" t="s">
        <v>1439</v>
      </c>
      <c r="AC2" s="382" t="s">
        <v>1440</v>
      </c>
      <c r="AD2" s="376" t="s">
        <v>1733</v>
      </c>
      <c r="AE2" s="376" t="s">
        <v>1441</v>
      </c>
      <c r="AF2" s="381" t="s">
        <v>1443</v>
      </c>
      <c r="AG2" s="382" t="s">
        <v>1453</v>
      </c>
      <c r="AH2" s="389" t="s">
        <v>21</v>
      </c>
      <c r="AI2" s="389" t="s">
        <v>22</v>
      </c>
      <c r="AJ2" s="389" t="s">
        <v>23</v>
      </c>
      <c r="AK2" s="389" t="s">
        <v>24</v>
      </c>
      <c r="AL2" s="389" t="s">
        <v>25</v>
      </c>
      <c r="AM2" s="389" t="s">
        <v>1103</v>
      </c>
      <c r="AN2" s="389" t="s">
        <v>1104</v>
      </c>
      <c r="AO2" s="389" t="s">
        <v>1105</v>
      </c>
      <c r="AP2" s="390" t="s">
        <v>27</v>
      </c>
      <c r="AQ2" s="391" t="s">
        <v>28</v>
      </c>
      <c r="AR2" s="393" t="s">
        <v>29</v>
      </c>
    </row>
    <row r="3" spans="1:44" s="108" customFormat="1" ht="15.6" x14ac:dyDescent="0.3">
      <c r="A3" s="108" t="s">
        <v>274</v>
      </c>
      <c r="B3" s="370"/>
      <c r="C3" s="194"/>
      <c r="D3" s="17" t="s">
        <v>128</v>
      </c>
      <c r="E3" s="194"/>
      <c r="H3" s="201"/>
      <c r="I3" s="201"/>
      <c r="J3" s="201"/>
      <c r="K3" s="201"/>
      <c r="L3" s="204"/>
      <c r="M3" s="204"/>
      <c r="N3" s="205"/>
      <c r="O3" s="206"/>
      <c r="P3" s="276"/>
      <c r="Q3" s="196"/>
      <c r="R3" s="196"/>
      <c r="S3" s="196"/>
      <c r="T3" s="197"/>
      <c r="U3" s="195"/>
      <c r="V3" s="196"/>
      <c r="W3" s="196"/>
      <c r="X3" s="197"/>
      <c r="Y3" s="195"/>
      <c r="Z3" s="196"/>
      <c r="AA3" s="196"/>
      <c r="AB3" s="197"/>
      <c r="AC3" s="195"/>
      <c r="AD3" s="196"/>
      <c r="AE3" s="196"/>
      <c r="AF3" s="197"/>
      <c r="AG3" s="195"/>
      <c r="AH3" s="198"/>
      <c r="AI3" s="198"/>
      <c r="AJ3" s="198"/>
      <c r="AK3" s="198"/>
      <c r="AL3" s="198"/>
      <c r="AM3" s="198"/>
      <c r="AN3" s="198"/>
      <c r="AO3" s="198"/>
      <c r="AP3" s="198"/>
      <c r="AQ3" s="200"/>
      <c r="AR3" s="210"/>
    </row>
    <row r="4" spans="1:44" s="16" customFormat="1" ht="13.8" x14ac:dyDescent="0.3">
      <c r="A4" s="20" t="s">
        <v>121</v>
      </c>
      <c r="B4" s="141"/>
      <c r="C4" s="21" t="s">
        <v>275</v>
      </c>
      <c r="D4" s="17" t="s">
        <v>95</v>
      </c>
      <c r="E4" s="21" t="s">
        <v>1384</v>
      </c>
      <c r="F4" s="16" t="s">
        <v>111</v>
      </c>
      <c r="G4" s="16" t="s">
        <v>1507</v>
      </c>
      <c r="H4" s="32">
        <v>7331423005710</v>
      </c>
      <c r="I4" s="49">
        <v>7331423100255</v>
      </c>
      <c r="J4" s="49">
        <v>7331423200412</v>
      </c>
      <c r="K4" s="49">
        <v>17331423200419</v>
      </c>
      <c r="L4" s="83" t="s">
        <v>523</v>
      </c>
      <c r="M4" s="29" t="s">
        <v>327</v>
      </c>
      <c r="N4" s="6">
        <v>39.99</v>
      </c>
      <c r="O4" s="37">
        <v>6</v>
      </c>
      <c r="P4" s="228">
        <v>36</v>
      </c>
      <c r="Q4" s="46">
        <f t="shared" ref="Q4:Q16" si="0">CONVERT(94,"g","lbm")</f>
        <v>0.20723452645378493</v>
      </c>
      <c r="R4" s="35">
        <f t="shared" ref="R4:R16" si="1">CONVERT(45,"mm","in")</f>
        <v>1.7716535433070868</v>
      </c>
      <c r="S4" s="35">
        <f t="shared" ref="S4:S16" si="2">CONVERT(38,"mm","in")</f>
        <v>1.4960629921259843</v>
      </c>
      <c r="T4" s="72">
        <f t="shared" ref="T4:T16" si="3">CONVERT(225,"mm","in")</f>
        <v>8.8582677165354333</v>
      </c>
      <c r="U4" s="46">
        <f t="shared" ref="U4:U11" si="4">CONVERT(0.1498,"kg","lbm")</f>
        <v>0.33025246875294656</v>
      </c>
      <c r="V4" s="35">
        <f t="shared" ref="V4:V11" si="5">CONVERT(117,"mm","in")</f>
        <v>4.6062992125984259</v>
      </c>
      <c r="W4" s="35">
        <f t="shared" ref="W4:W11" si="6">CONVERT(36,"mm","in")</f>
        <v>1.4173228346456692</v>
      </c>
      <c r="X4" s="72">
        <f t="shared" ref="X4:X11" si="7">CONVERT(300,"mm","in")</f>
        <v>11.811023622047244</v>
      </c>
      <c r="Y4" s="46">
        <f t="shared" ref="Y4:Y11" si="8">CONVERT(0.989,"kg","lbm")</f>
        <v>2.1803717730084395</v>
      </c>
      <c r="Z4" s="35">
        <f t="shared" ref="Z4:Z11" si="9">CONVERT(195,"mm","in")</f>
        <v>7.6771653543307083</v>
      </c>
      <c r="AA4" s="35">
        <f t="shared" ref="AA4:AA11" si="10">CONVERT(110,"mm","in")</f>
        <v>4.3307086614173231</v>
      </c>
      <c r="AB4" s="72">
        <f t="shared" ref="AB4:AB11" si="11">CONVERT(305,"mm","in")</f>
        <v>12.007874015748031</v>
      </c>
      <c r="AC4" s="46">
        <f t="shared" ref="AC4:AC11" si="12">CONVERT(6.1544,"kg","lbm")</f>
        <v>13.568129463906104</v>
      </c>
      <c r="AD4" s="35">
        <f t="shared" ref="AD4:AD11" si="13">CONVERT(399,"mm","in")</f>
        <v>15.708661417322835</v>
      </c>
      <c r="AE4" s="35">
        <f t="shared" ref="AE4:AE11" si="14">CONVERT(343,"mm","in")</f>
        <v>13.503937007874017</v>
      </c>
      <c r="AF4" s="72">
        <f t="shared" ref="AF4:AF11" si="15">CONVERT(314,"mm","in")</f>
        <v>12.362204724409448</v>
      </c>
      <c r="AG4" s="44">
        <f t="shared" ref="AG4:AG23" si="16">AD4*AE4*AF4/(12^3)</f>
        <v>1.5175806338598679</v>
      </c>
      <c r="AH4" s="39" t="s">
        <v>1831</v>
      </c>
      <c r="AI4" s="39" t="s">
        <v>1832</v>
      </c>
      <c r="AJ4" s="39" t="s">
        <v>1833</v>
      </c>
      <c r="AK4" s="42" t="s">
        <v>1834</v>
      </c>
      <c r="AL4" s="42" t="s">
        <v>1835</v>
      </c>
      <c r="AM4" s="42" t="s">
        <v>1836</v>
      </c>
      <c r="AN4" s="42" t="s">
        <v>1837</v>
      </c>
      <c r="AO4" s="42"/>
      <c r="AP4" s="11" t="s">
        <v>1682</v>
      </c>
      <c r="AQ4" s="20" t="s">
        <v>1839</v>
      </c>
      <c r="AR4" s="97" t="s">
        <v>1838</v>
      </c>
    </row>
    <row r="5" spans="1:44" s="16" customFormat="1" ht="13.8" x14ac:dyDescent="0.3">
      <c r="A5" s="20" t="s">
        <v>121</v>
      </c>
      <c r="B5" s="141"/>
      <c r="C5" s="21" t="s">
        <v>275</v>
      </c>
      <c r="D5" s="17" t="s">
        <v>348</v>
      </c>
      <c r="E5" s="21" t="s">
        <v>1384</v>
      </c>
      <c r="F5" s="16" t="s">
        <v>349</v>
      </c>
      <c r="G5" s="16" t="s">
        <v>1507</v>
      </c>
      <c r="H5" s="32">
        <v>7331423005727</v>
      </c>
      <c r="I5" s="49">
        <v>7331423100262</v>
      </c>
      <c r="J5" s="49">
        <v>7331423200429</v>
      </c>
      <c r="K5" s="49">
        <v>17331423200426</v>
      </c>
      <c r="L5" s="83" t="s">
        <v>523</v>
      </c>
      <c r="M5" s="29" t="s">
        <v>327</v>
      </c>
      <c r="N5" s="6">
        <v>39.99</v>
      </c>
      <c r="O5" s="37">
        <v>6</v>
      </c>
      <c r="P5" s="228">
        <v>36</v>
      </c>
      <c r="Q5" s="46">
        <f t="shared" si="0"/>
        <v>0.20723452645378493</v>
      </c>
      <c r="R5" s="35">
        <f t="shared" si="1"/>
        <v>1.7716535433070868</v>
      </c>
      <c r="S5" s="35">
        <f t="shared" si="2"/>
        <v>1.4960629921259843</v>
      </c>
      <c r="T5" s="72">
        <f t="shared" si="3"/>
        <v>8.8582677165354333</v>
      </c>
      <c r="U5" s="46">
        <f t="shared" si="4"/>
        <v>0.33025246875294656</v>
      </c>
      <c r="V5" s="35">
        <f t="shared" si="5"/>
        <v>4.6062992125984259</v>
      </c>
      <c r="W5" s="35">
        <f t="shared" si="6"/>
        <v>1.4173228346456692</v>
      </c>
      <c r="X5" s="72">
        <f t="shared" si="7"/>
        <v>11.811023622047244</v>
      </c>
      <c r="Y5" s="46">
        <f t="shared" si="8"/>
        <v>2.1803717730084395</v>
      </c>
      <c r="Z5" s="35">
        <f t="shared" si="9"/>
        <v>7.6771653543307083</v>
      </c>
      <c r="AA5" s="35">
        <f t="shared" si="10"/>
        <v>4.3307086614173231</v>
      </c>
      <c r="AB5" s="72">
        <f t="shared" si="11"/>
        <v>12.007874015748031</v>
      </c>
      <c r="AC5" s="46">
        <f t="shared" si="12"/>
        <v>13.568129463906104</v>
      </c>
      <c r="AD5" s="35">
        <f t="shared" si="13"/>
        <v>15.708661417322835</v>
      </c>
      <c r="AE5" s="35">
        <f t="shared" si="14"/>
        <v>13.503937007874017</v>
      </c>
      <c r="AF5" s="72">
        <f t="shared" si="15"/>
        <v>12.362204724409448</v>
      </c>
      <c r="AG5" s="44">
        <f t="shared" si="16"/>
        <v>1.5175806338598679</v>
      </c>
      <c r="AH5" s="39" t="s">
        <v>1831</v>
      </c>
      <c r="AI5" s="39" t="s">
        <v>1832</v>
      </c>
      <c r="AJ5" s="39" t="s">
        <v>1833</v>
      </c>
      <c r="AK5" s="42" t="s">
        <v>1834</v>
      </c>
      <c r="AL5" s="42" t="s">
        <v>1835</v>
      </c>
      <c r="AM5" s="42" t="s">
        <v>1836</v>
      </c>
      <c r="AN5" s="42" t="s">
        <v>1837</v>
      </c>
      <c r="AO5" s="42"/>
      <c r="AP5" s="11" t="s">
        <v>1682</v>
      </c>
      <c r="AQ5" s="20" t="s">
        <v>1839</v>
      </c>
      <c r="AR5" s="97" t="s">
        <v>1838</v>
      </c>
    </row>
    <row r="6" spans="1:44" s="16" customFormat="1" ht="13.8" x14ac:dyDescent="0.3">
      <c r="A6" s="20" t="s">
        <v>121</v>
      </c>
      <c r="B6" s="141"/>
      <c r="C6" s="21" t="s">
        <v>275</v>
      </c>
      <c r="D6" s="17" t="s">
        <v>784</v>
      </c>
      <c r="E6" s="21" t="s">
        <v>1384</v>
      </c>
      <c r="F6" s="16" t="s">
        <v>882</v>
      </c>
      <c r="G6" s="16" t="s">
        <v>1507</v>
      </c>
      <c r="H6" s="32">
        <v>7331423007912</v>
      </c>
      <c r="I6" s="49">
        <v>7331423100248</v>
      </c>
      <c r="J6" s="49">
        <v>7331423200405</v>
      </c>
      <c r="K6" s="49">
        <v>17331423200402</v>
      </c>
      <c r="L6" s="83" t="s">
        <v>523</v>
      </c>
      <c r="M6" s="29" t="s">
        <v>327</v>
      </c>
      <c r="N6" s="6">
        <v>39.99</v>
      </c>
      <c r="O6" s="37">
        <v>6</v>
      </c>
      <c r="P6" s="228">
        <v>36</v>
      </c>
      <c r="Q6" s="46">
        <f t="shared" si="0"/>
        <v>0.20723452645378493</v>
      </c>
      <c r="R6" s="35">
        <f t="shared" si="1"/>
        <v>1.7716535433070868</v>
      </c>
      <c r="S6" s="35">
        <f t="shared" si="2"/>
        <v>1.4960629921259843</v>
      </c>
      <c r="T6" s="72">
        <f t="shared" si="3"/>
        <v>8.8582677165354333</v>
      </c>
      <c r="U6" s="46">
        <f t="shared" si="4"/>
        <v>0.33025246875294656</v>
      </c>
      <c r="V6" s="35">
        <f t="shared" si="5"/>
        <v>4.6062992125984259</v>
      </c>
      <c r="W6" s="35">
        <f t="shared" si="6"/>
        <v>1.4173228346456692</v>
      </c>
      <c r="X6" s="72">
        <f t="shared" si="7"/>
        <v>11.811023622047244</v>
      </c>
      <c r="Y6" s="46">
        <f t="shared" si="8"/>
        <v>2.1803717730084395</v>
      </c>
      <c r="Z6" s="35">
        <f t="shared" si="9"/>
        <v>7.6771653543307083</v>
      </c>
      <c r="AA6" s="35">
        <f t="shared" si="10"/>
        <v>4.3307086614173231</v>
      </c>
      <c r="AB6" s="72">
        <f t="shared" si="11"/>
        <v>12.007874015748031</v>
      </c>
      <c r="AC6" s="46">
        <f t="shared" si="12"/>
        <v>13.568129463906104</v>
      </c>
      <c r="AD6" s="35">
        <f t="shared" si="13"/>
        <v>15.708661417322835</v>
      </c>
      <c r="AE6" s="35">
        <f t="shared" si="14"/>
        <v>13.503937007874017</v>
      </c>
      <c r="AF6" s="72">
        <f t="shared" si="15"/>
        <v>12.362204724409448</v>
      </c>
      <c r="AG6" s="44">
        <f t="shared" si="16"/>
        <v>1.5175806338598679</v>
      </c>
      <c r="AH6" s="39" t="s">
        <v>1831</v>
      </c>
      <c r="AI6" s="39" t="s">
        <v>1832</v>
      </c>
      <c r="AJ6" s="39" t="s">
        <v>1833</v>
      </c>
      <c r="AK6" s="42" t="s">
        <v>1834</v>
      </c>
      <c r="AL6" s="42" t="s">
        <v>1835</v>
      </c>
      <c r="AM6" s="42" t="s">
        <v>1836</v>
      </c>
      <c r="AN6" s="42" t="s">
        <v>1837</v>
      </c>
      <c r="AO6" s="42"/>
      <c r="AP6" s="11" t="s">
        <v>1682</v>
      </c>
      <c r="AQ6" s="20" t="s">
        <v>1839</v>
      </c>
      <c r="AR6" s="97" t="s">
        <v>1838</v>
      </c>
    </row>
    <row r="7" spans="1:44" s="16" customFormat="1" ht="13.8" x14ac:dyDescent="0.3">
      <c r="A7" s="20" t="s">
        <v>121</v>
      </c>
      <c r="B7" s="141"/>
      <c r="C7" s="21" t="s">
        <v>275</v>
      </c>
      <c r="D7" s="17" t="s">
        <v>89</v>
      </c>
      <c r="E7" s="21" t="s">
        <v>1384</v>
      </c>
      <c r="F7" s="16" t="s">
        <v>50</v>
      </c>
      <c r="G7" s="16" t="s">
        <v>1507</v>
      </c>
      <c r="H7" s="32">
        <v>7331423005734</v>
      </c>
      <c r="I7" s="49">
        <v>7331423100286</v>
      </c>
      <c r="J7" s="49">
        <v>7331423200443</v>
      </c>
      <c r="K7" s="49">
        <v>17331423200440</v>
      </c>
      <c r="L7" s="83" t="s">
        <v>523</v>
      </c>
      <c r="M7" s="29" t="s">
        <v>327</v>
      </c>
      <c r="N7" s="6">
        <v>39.99</v>
      </c>
      <c r="O7" s="37">
        <v>6</v>
      </c>
      <c r="P7" s="228">
        <v>36</v>
      </c>
      <c r="Q7" s="46">
        <f t="shared" si="0"/>
        <v>0.20723452645378493</v>
      </c>
      <c r="R7" s="35">
        <f t="shared" si="1"/>
        <v>1.7716535433070868</v>
      </c>
      <c r="S7" s="35">
        <f t="shared" si="2"/>
        <v>1.4960629921259843</v>
      </c>
      <c r="T7" s="72">
        <f t="shared" si="3"/>
        <v>8.8582677165354333</v>
      </c>
      <c r="U7" s="46">
        <f t="shared" si="4"/>
        <v>0.33025246875294656</v>
      </c>
      <c r="V7" s="35">
        <f t="shared" si="5"/>
        <v>4.6062992125984259</v>
      </c>
      <c r="W7" s="35">
        <f t="shared" si="6"/>
        <v>1.4173228346456692</v>
      </c>
      <c r="X7" s="72">
        <f t="shared" si="7"/>
        <v>11.811023622047244</v>
      </c>
      <c r="Y7" s="46">
        <f t="shared" si="8"/>
        <v>2.1803717730084395</v>
      </c>
      <c r="Z7" s="35">
        <f t="shared" si="9"/>
        <v>7.6771653543307083</v>
      </c>
      <c r="AA7" s="35">
        <f t="shared" si="10"/>
        <v>4.3307086614173231</v>
      </c>
      <c r="AB7" s="72">
        <f t="shared" si="11"/>
        <v>12.007874015748031</v>
      </c>
      <c r="AC7" s="46">
        <f t="shared" si="12"/>
        <v>13.568129463906104</v>
      </c>
      <c r="AD7" s="35">
        <f t="shared" si="13"/>
        <v>15.708661417322835</v>
      </c>
      <c r="AE7" s="35">
        <f t="shared" si="14"/>
        <v>13.503937007874017</v>
      </c>
      <c r="AF7" s="72">
        <f t="shared" si="15"/>
        <v>12.362204724409448</v>
      </c>
      <c r="AG7" s="44">
        <f t="shared" si="16"/>
        <v>1.5175806338598679</v>
      </c>
      <c r="AH7" s="39" t="s">
        <v>1831</v>
      </c>
      <c r="AI7" s="39" t="s">
        <v>1832</v>
      </c>
      <c r="AJ7" s="39" t="s">
        <v>1833</v>
      </c>
      <c r="AK7" s="42" t="s">
        <v>1834</v>
      </c>
      <c r="AL7" s="42" t="s">
        <v>1835</v>
      </c>
      <c r="AM7" s="42" t="s">
        <v>1836</v>
      </c>
      <c r="AN7" s="42" t="s">
        <v>1837</v>
      </c>
      <c r="AO7" s="42"/>
      <c r="AP7" s="11" t="s">
        <v>1682</v>
      </c>
      <c r="AQ7" s="20" t="s">
        <v>1839</v>
      </c>
      <c r="AR7" s="97" t="s">
        <v>1838</v>
      </c>
    </row>
    <row r="8" spans="1:44" s="16" customFormat="1" ht="13.8" x14ac:dyDescent="0.3">
      <c r="A8" s="20" t="s">
        <v>121</v>
      </c>
      <c r="B8" s="141"/>
      <c r="C8" s="21" t="s">
        <v>275</v>
      </c>
      <c r="D8" s="17" t="s">
        <v>785</v>
      </c>
      <c r="E8" s="21" t="s">
        <v>1384</v>
      </c>
      <c r="F8" s="16" t="s">
        <v>881</v>
      </c>
      <c r="G8" s="16" t="s">
        <v>1507</v>
      </c>
      <c r="H8" s="32">
        <v>7331423007905</v>
      </c>
      <c r="I8" s="49">
        <v>7331423100231</v>
      </c>
      <c r="J8" s="49">
        <v>7331423200399</v>
      </c>
      <c r="K8" s="49">
        <v>17331423200396</v>
      </c>
      <c r="L8" s="83" t="s">
        <v>523</v>
      </c>
      <c r="M8" s="29" t="s">
        <v>327</v>
      </c>
      <c r="N8" s="6">
        <v>39.99</v>
      </c>
      <c r="O8" s="37">
        <v>6</v>
      </c>
      <c r="P8" s="228">
        <v>36</v>
      </c>
      <c r="Q8" s="46">
        <f t="shared" si="0"/>
        <v>0.20723452645378493</v>
      </c>
      <c r="R8" s="35">
        <f t="shared" si="1"/>
        <v>1.7716535433070868</v>
      </c>
      <c r="S8" s="35">
        <f t="shared" si="2"/>
        <v>1.4960629921259843</v>
      </c>
      <c r="T8" s="72">
        <f t="shared" si="3"/>
        <v>8.8582677165354333</v>
      </c>
      <c r="U8" s="46">
        <f t="shared" si="4"/>
        <v>0.33025246875294656</v>
      </c>
      <c r="V8" s="35">
        <f t="shared" si="5"/>
        <v>4.6062992125984259</v>
      </c>
      <c r="W8" s="35">
        <f t="shared" si="6"/>
        <v>1.4173228346456692</v>
      </c>
      <c r="X8" s="72">
        <f t="shared" si="7"/>
        <v>11.811023622047244</v>
      </c>
      <c r="Y8" s="46">
        <f t="shared" si="8"/>
        <v>2.1803717730084395</v>
      </c>
      <c r="Z8" s="35">
        <f t="shared" si="9"/>
        <v>7.6771653543307083</v>
      </c>
      <c r="AA8" s="35">
        <f t="shared" si="10"/>
        <v>4.3307086614173231</v>
      </c>
      <c r="AB8" s="72">
        <f t="shared" si="11"/>
        <v>12.007874015748031</v>
      </c>
      <c r="AC8" s="46">
        <f t="shared" si="12"/>
        <v>13.568129463906104</v>
      </c>
      <c r="AD8" s="35">
        <f t="shared" si="13"/>
        <v>15.708661417322835</v>
      </c>
      <c r="AE8" s="35">
        <f t="shared" si="14"/>
        <v>13.503937007874017</v>
      </c>
      <c r="AF8" s="72">
        <f t="shared" si="15"/>
        <v>12.362204724409448</v>
      </c>
      <c r="AG8" s="44">
        <f t="shared" si="16"/>
        <v>1.5175806338598679</v>
      </c>
      <c r="AH8" s="39" t="s">
        <v>1831</v>
      </c>
      <c r="AI8" s="39" t="s">
        <v>1832</v>
      </c>
      <c r="AJ8" s="39" t="s">
        <v>1833</v>
      </c>
      <c r="AK8" s="42" t="s">
        <v>1834</v>
      </c>
      <c r="AL8" s="42" t="s">
        <v>1835</v>
      </c>
      <c r="AM8" s="42" t="s">
        <v>1836</v>
      </c>
      <c r="AN8" s="42" t="s">
        <v>1837</v>
      </c>
      <c r="AO8" s="42"/>
      <c r="AP8" s="11" t="s">
        <v>1682</v>
      </c>
      <c r="AQ8" s="20" t="s">
        <v>1839</v>
      </c>
      <c r="AR8" s="97" t="s">
        <v>1838</v>
      </c>
    </row>
    <row r="9" spans="1:44" s="16" customFormat="1" ht="13.8" x14ac:dyDescent="0.3">
      <c r="A9" s="20" t="s">
        <v>121</v>
      </c>
      <c r="B9" s="141"/>
      <c r="C9" s="21" t="s">
        <v>275</v>
      </c>
      <c r="D9" s="17" t="s">
        <v>92</v>
      </c>
      <c r="E9" s="21" t="s">
        <v>1384</v>
      </c>
      <c r="F9" s="16" t="s">
        <v>51</v>
      </c>
      <c r="G9" s="16" t="s">
        <v>1507</v>
      </c>
      <c r="H9" s="32">
        <v>7331423005758</v>
      </c>
      <c r="I9" s="49">
        <v>7331423100293</v>
      </c>
      <c r="J9" s="49">
        <v>7331423200450</v>
      </c>
      <c r="K9" s="49">
        <v>17331423200457</v>
      </c>
      <c r="L9" s="83" t="s">
        <v>523</v>
      </c>
      <c r="M9" s="29" t="s">
        <v>327</v>
      </c>
      <c r="N9" s="6">
        <v>39.99</v>
      </c>
      <c r="O9" s="37">
        <v>6</v>
      </c>
      <c r="P9" s="228">
        <v>36</v>
      </c>
      <c r="Q9" s="46">
        <f t="shared" si="0"/>
        <v>0.20723452645378493</v>
      </c>
      <c r="R9" s="35">
        <f t="shared" si="1"/>
        <v>1.7716535433070868</v>
      </c>
      <c r="S9" s="35">
        <f t="shared" si="2"/>
        <v>1.4960629921259843</v>
      </c>
      <c r="T9" s="72">
        <f t="shared" si="3"/>
        <v>8.8582677165354333</v>
      </c>
      <c r="U9" s="46">
        <f t="shared" si="4"/>
        <v>0.33025246875294656</v>
      </c>
      <c r="V9" s="35">
        <f t="shared" si="5"/>
        <v>4.6062992125984259</v>
      </c>
      <c r="W9" s="35">
        <f t="shared" si="6"/>
        <v>1.4173228346456692</v>
      </c>
      <c r="X9" s="72">
        <f t="shared" si="7"/>
        <v>11.811023622047244</v>
      </c>
      <c r="Y9" s="46">
        <f t="shared" si="8"/>
        <v>2.1803717730084395</v>
      </c>
      <c r="Z9" s="35">
        <f t="shared" si="9"/>
        <v>7.6771653543307083</v>
      </c>
      <c r="AA9" s="35">
        <f t="shared" si="10"/>
        <v>4.3307086614173231</v>
      </c>
      <c r="AB9" s="72">
        <f t="shared" si="11"/>
        <v>12.007874015748031</v>
      </c>
      <c r="AC9" s="46">
        <f t="shared" si="12"/>
        <v>13.568129463906104</v>
      </c>
      <c r="AD9" s="35">
        <f t="shared" si="13"/>
        <v>15.708661417322835</v>
      </c>
      <c r="AE9" s="35">
        <f t="shared" si="14"/>
        <v>13.503937007874017</v>
      </c>
      <c r="AF9" s="72">
        <f t="shared" si="15"/>
        <v>12.362204724409448</v>
      </c>
      <c r="AG9" s="44">
        <f t="shared" si="16"/>
        <v>1.5175806338598679</v>
      </c>
      <c r="AH9" s="39" t="s">
        <v>1831</v>
      </c>
      <c r="AI9" s="39" t="s">
        <v>1832</v>
      </c>
      <c r="AJ9" s="39" t="s">
        <v>1833</v>
      </c>
      <c r="AK9" s="42" t="s">
        <v>1834</v>
      </c>
      <c r="AL9" s="42" t="s">
        <v>1835</v>
      </c>
      <c r="AM9" s="42" t="s">
        <v>1836</v>
      </c>
      <c r="AN9" s="42" t="s">
        <v>1837</v>
      </c>
      <c r="AO9" s="42"/>
      <c r="AP9" s="11" t="s">
        <v>1682</v>
      </c>
      <c r="AQ9" s="20" t="s">
        <v>1839</v>
      </c>
      <c r="AR9" s="97" t="s">
        <v>1838</v>
      </c>
    </row>
    <row r="10" spans="1:44" s="16" customFormat="1" ht="13.8" x14ac:dyDescent="0.3">
      <c r="A10" s="20" t="s">
        <v>121</v>
      </c>
      <c r="B10" s="141"/>
      <c r="C10" s="21" t="s">
        <v>275</v>
      </c>
      <c r="D10" s="17" t="s">
        <v>87</v>
      </c>
      <c r="E10" s="21" t="s">
        <v>1384</v>
      </c>
      <c r="F10" s="16" t="s">
        <v>54</v>
      </c>
      <c r="G10" s="16" t="s">
        <v>1507</v>
      </c>
      <c r="H10" s="32">
        <v>7331423005741</v>
      </c>
      <c r="I10" s="49">
        <v>7331423100279</v>
      </c>
      <c r="J10" s="49">
        <v>7331423200436</v>
      </c>
      <c r="K10" s="49">
        <v>17331423200433</v>
      </c>
      <c r="L10" s="83" t="s">
        <v>523</v>
      </c>
      <c r="M10" s="29" t="s">
        <v>327</v>
      </c>
      <c r="N10" s="6">
        <v>39.99</v>
      </c>
      <c r="O10" s="37">
        <v>6</v>
      </c>
      <c r="P10" s="228">
        <v>36</v>
      </c>
      <c r="Q10" s="46">
        <f t="shared" si="0"/>
        <v>0.20723452645378493</v>
      </c>
      <c r="R10" s="35">
        <f t="shared" si="1"/>
        <v>1.7716535433070868</v>
      </c>
      <c r="S10" s="35">
        <f t="shared" si="2"/>
        <v>1.4960629921259843</v>
      </c>
      <c r="T10" s="72">
        <f t="shared" si="3"/>
        <v>8.8582677165354333</v>
      </c>
      <c r="U10" s="46">
        <f t="shared" si="4"/>
        <v>0.33025246875294656</v>
      </c>
      <c r="V10" s="35">
        <f t="shared" si="5"/>
        <v>4.6062992125984259</v>
      </c>
      <c r="W10" s="35">
        <f t="shared" si="6"/>
        <v>1.4173228346456692</v>
      </c>
      <c r="X10" s="72">
        <f t="shared" si="7"/>
        <v>11.811023622047244</v>
      </c>
      <c r="Y10" s="46">
        <f t="shared" si="8"/>
        <v>2.1803717730084395</v>
      </c>
      <c r="Z10" s="35">
        <f t="shared" si="9"/>
        <v>7.6771653543307083</v>
      </c>
      <c r="AA10" s="35">
        <f t="shared" si="10"/>
        <v>4.3307086614173231</v>
      </c>
      <c r="AB10" s="72">
        <f t="shared" si="11"/>
        <v>12.007874015748031</v>
      </c>
      <c r="AC10" s="46">
        <f t="shared" si="12"/>
        <v>13.568129463906104</v>
      </c>
      <c r="AD10" s="35">
        <f t="shared" si="13"/>
        <v>15.708661417322835</v>
      </c>
      <c r="AE10" s="35">
        <f t="shared" si="14"/>
        <v>13.503937007874017</v>
      </c>
      <c r="AF10" s="72">
        <f t="shared" si="15"/>
        <v>12.362204724409448</v>
      </c>
      <c r="AG10" s="44">
        <f t="shared" si="16"/>
        <v>1.5175806338598679</v>
      </c>
      <c r="AH10" s="39" t="s">
        <v>1831</v>
      </c>
      <c r="AI10" s="39" t="s">
        <v>1832</v>
      </c>
      <c r="AJ10" s="39" t="s">
        <v>1833</v>
      </c>
      <c r="AK10" s="42" t="s">
        <v>1834</v>
      </c>
      <c r="AL10" s="42" t="s">
        <v>1835</v>
      </c>
      <c r="AM10" s="42" t="s">
        <v>1836</v>
      </c>
      <c r="AN10" s="42" t="s">
        <v>1837</v>
      </c>
      <c r="AO10" s="42"/>
      <c r="AP10" s="11" t="s">
        <v>1682</v>
      </c>
      <c r="AQ10" s="20" t="s">
        <v>1839</v>
      </c>
      <c r="AR10" s="97" t="s">
        <v>1838</v>
      </c>
    </row>
    <row r="11" spans="1:44" s="16" customFormat="1" ht="13.8" x14ac:dyDescent="0.3">
      <c r="A11" s="20" t="s">
        <v>121</v>
      </c>
      <c r="B11" s="141"/>
      <c r="C11" s="21" t="s">
        <v>275</v>
      </c>
      <c r="D11" s="17" t="s">
        <v>786</v>
      </c>
      <c r="E11" s="21" t="s">
        <v>1384</v>
      </c>
      <c r="F11" s="16" t="s">
        <v>1712</v>
      </c>
      <c r="G11" s="16" t="s">
        <v>1507</v>
      </c>
      <c r="H11" s="49">
        <v>7331423007936</v>
      </c>
      <c r="I11" s="49">
        <v>7331423007936</v>
      </c>
      <c r="J11" s="49">
        <v>7331423200474</v>
      </c>
      <c r="K11" s="49">
        <v>17331423200471</v>
      </c>
      <c r="L11" s="83" t="s">
        <v>523</v>
      </c>
      <c r="M11" s="29" t="s">
        <v>327</v>
      </c>
      <c r="N11" s="6">
        <v>39.99</v>
      </c>
      <c r="O11" s="37">
        <v>6</v>
      </c>
      <c r="P11" s="228">
        <v>36</v>
      </c>
      <c r="Q11" s="46">
        <f t="shared" si="0"/>
        <v>0.20723452645378493</v>
      </c>
      <c r="R11" s="35">
        <f t="shared" si="1"/>
        <v>1.7716535433070868</v>
      </c>
      <c r="S11" s="35">
        <f t="shared" si="2"/>
        <v>1.4960629921259843</v>
      </c>
      <c r="T11" s="72">
        <f t="shared" si="3"/>
        <v>8.8582677165354333</v>
      </c>
      <c r="U11" s="46">
        <f t="shared" si="4"/>
        <v>0.33025246875294656</v>
      </c>
      <c r="V11" s="35">
        <f t="shared" si="5"/>
        <v>4.6062992125984259</v>
      </c>
      <c r="W11" s="35">
        <f t="shared" si="6"/>
        <v>1.4173228346456692</v>
      </c>
      <c r="X11" s="72">
        <f t="shared" si="7"/>
        <v>11.811023622047244</v>
      </c>
      <c r="Y11" s="46">
        <f t="shared" si="8"/>
        <v>2.1803717730084395</v>
      </c>
      <c r="Z11" s="35">
        <f t="shared" si="9"/>
        <v>7.6771653543307083</v>
      </c>
      <c r="AA11" s="35">
        <f t="shared" si="10"/>
        <v>4.3307086614173231</v>
      </c>
      <c r="AB11" s="72">
        <f t="shared" si="11"/>
        <v>12.007874015748031</v>
      </c>
      <c r="AC11" s="46">
        <f t="shared" si="12"/>
        <v>13.568129463906104</v>
      </c>
      <c r="AD11" s="35">
        <f t="shared" si="13"/>
        <v>15.708661417322835</v>
      </c>
      <c r="AE11" s="35">
        <f t="shared" si="14"/>
        <v>13.503937007874017</v>
      </c>
      <c r="AF11" s="72">
        <f t="shared" si="15"/>
        <v>12.362204724409448</v>
      </c>
      <c r="AG11" s="44">
        <f t="shared" si="16"/>
        <v>1.5175806338598679</v>
      </c>
      <c r="AH11" s="39" t="s">
        <v>1831</v>
      </c>
      <c r="AI11" s="39" t="s">
        <v>1832</v>
      </c>
      <c r="AJ11" s="39" t="s">
        <v>1833</v>
      </c>
      <c r="AK11" s="42" t="s">
        <v>1834</v>
      </c>
      <c r="AL11" s="42" t="s">
        <v>1835</v>
      </c>
      <c r="AM11" s="42" t="s">
        <v>1836</v>
      </c>
      <c r="AN11" s="42" t="s">
        <v>1837</v>
      </c>
      <c r="AO11" s="42"/>
      <c r="AP11" s="11" t="s">
        <v>1682</v>
      </c>
      <c r="AQ11" s="20" t="s">
        <v>1839</v>
      </c>
      <c r="AR11" s="97" t="s">
        <v>1838</v>
      </c>
    </row>
    <row r="12" spans="1:44" s="16" customFormat="1" ht="13.8" x14ac:dyDescent="0.3">
      <c r="A12" s="20" t="s">
        <v>121</v>
      </c>
      <c r="B12" s="141"/>
      <c r="C12" s="21" t="s">
        <v>655</v>
      </c>
      <c r="D12" s="17" t="s">
        <v>95</v>
      </c>
      <c r="E12" s="21" t="s">
        <v>1384</v>
      </c>
      <c r="F12" s="24" t="s">
        <v>111</v>
      </c>
      <c r="G12" s="24" t="s">
        <v>1485</v>
      </c>
      <c r="H12" s="448">
        <v>7331423006397</v>
      </c>
      <c r="I12" s="49" t="s">
        <v>66</v>
      </c>
      <c r="J12" s="49">
        <v>7331423007431</v>
      </c>
      <c r="K12" s="49" t="s">
        <v>66</v>
      </c>
      <c r="L12" s="83" t="s">
        <v>523</v>
      </c>
      <c r="M12" s="29" t="s">
        <v>327</v>
      </c>
      <c r="N12" s="6">
        <v>39.99</v>
      </c>
      <c r="O12" s="37">
        <v>1</v>
      </c>
      <c r="P12" s="228">
        <v>15</v>
      </c>
      <c r="Q12" s="46">
        <f t="shared" si="0"/>
        <v>0.20723452645378493</v>
      </c>
      <c r="R12" s="35">
        <f t="shared" si="1"/>
        <v>1.7716535433070868</v>
      </c>
      <c r="S12" s="35">
        <f t="shared" si="2"/>
        <v>1.4960629921259843</v>
      </c>
      <c r="T12" s="72">
        <f t="shared" si="3"/>
        <v>8.8582677165354333</v>
      </c>
      <c r="U12" s="46">
        <v>0.25</v>
      </c>
      <c r="V12" s="35">
        <v>1.25</v>
      </c>
      <c r="W12" s="35">
        <v>1.25</v>
      </c>
      <c r="X12" s="72">
        <v>5.875</v>
      </c>
      <c r="Y12" s="46" t="s">
        <v>66</v>
      </c>
      <c r="Z12" s="35" t="s">
        <v>66</v>
      </c>
      <c r="AA12" s="35" t="s">
        <v>66</v>
      </c>
      <c r="AB12" s="72" t="s">
        <v>66</v>
      </c>
      <c r="AC12" s="46">
        <v>4.3</v>
      </c>
      <c r="AD12" s="35">
        <v>9.875</v>
      </c>
      <c r="AE12" s="35">
        <v>5.25</v>
      </c>
      <c r="AF12" s="72">
        <v>10.25</v>
      </c>
      <c r="AG12" s="44">
        <f t="shared" si="16"/>
        <v>0.3075222439236111</v>
      </c>
      <c r="AH12" s="39" t="s">
        <v>1831</v>
      </c>
      <c r="AI12" s="39" t="s">
        <v>1832</v>
      </c>
      <c r="AJ12" s="39" t="s">
        <v>1833</v>
      </c>
      <c r="AK12" s="42" t="s">
        <v>1834</v>
      </c>
      <c r="AL12" s="42" t="s">
        <v>1835</v>
      </c>
      <c r="AM12" s="42" t="s">
        <v>1836</v>
      </c>
      <c r="AN12" s="42" t="s">
        <v>1837</v>
      </c>
      <c r="AO12" s="42"/>
      <c r="AP12" s="11" t="s">
        <v>1682</v>
      </c>
      <c r="AQ12" s="20" t="s">
        <v>1839</v>
      </c>
      <c r="AR12" s="97" t="s">
        <v>1838</v>
      </c>
    </row>
    <row r="13" spans="1:44" s="16" customFormat="1" ht="13.8" x14ac:dyDescent="0.3">
      <c r="A13" s="20" t="s">
        <v>121</v>
      </c>
      <c r="B13" s="141"/>
      <c r="C13" s="21" t="s">
        <v>655</v>
      </c>
      <c r="D13" s="17" t="s">
        <v>89</v>
      </c>
      <c r="E13" s="21" t="s">
        <v>1384</v>
      </c>
      <c r="F13" s="17" t="s">
        <v>50</v>
      </c>
      <c r="G13" s="24" t="s">
        <v>1485</v>
      </c>
      <c r="H13" s="448">
        <v>7331423006410</v>
      </c>
      <c r="I13" s="49" t="s">
        <v>66</v>
      </c>
      <c r="J13" s="49">
        <v>7331423007578</v>
      </c>
      <c r="K13" s="49" t="s">
        <v>66</v>
      </c>
      <c r="L13" s="83" t="s">
        <v>523</v>
      </c>
      <c r="M13" s="29" t="s">
        <v>327</v>
      </c>
      <c r="N13" s="6">
        <v>39.99</v>
      </c>
      <c r="O13" s="37">
        <v>1</v>
      </c>
      <c r="P13" s="228">
        <v>15</v>
      </c>
      <c r="Q13" s="46">
        <f t="shared" si="0"/>
        <v>0.20723452645378493</v>
      </c>
      <c r="R13" s="35">
        <f t="shared" si="1"/>
        <v>1.7716535433070868</v>
      </c>
      <c r="S13" s="35">
        <f t="shared" si="2"/>
        <v>1.4960629921259843</v>
      </c>
      <c r="T13" s="72">
        <f t="shared" si="3"/>
        <v>8.8582677165354333</v>
      </c>
      <c r="U13" s="46">
        <v>0.25</v>
      </c>
      <c r="V13" s="35">
        <v>1.25</v>
      </c>
      <c r="W13" s="35">
        <v>1.25</v>
      </c>
      <c r="X13" s="72">
        <v>5.875</v>
      </c>
      <c r="Y13" s="46" t="s">
        <v>66</v>
      </c>
      <c r="Z13" s="35" t="s">
        <v>66</v>
      </c>
      <c r="AA13" s="35" t="s">
        <v>66</v>
      </c>
      <c r="AB13" s="72" t="s">
        <v>66</v>
      </c>
      <c r="AC13" s="46">
        <v>4.3</v>
      </c>
      <c r="AD13" s="35">
        <v>9.875</v>
      </c>
      <c r="AE13" s="35">
        <v>5.25</v>
      </c>
      <c r="AF13" s="72">
        <v>10.25</v>
      </c>
      <c r="AG13" s="44">
        <f t="shared" si="16"/>
        <v>0.3075222439236111</v>
      </c>
      <c r="AH13" s="39" t="s">
        <v>1831</v>
      </c>
      <c r="AI13" s="39" t="s">
        <v>1832</v>
      </c>
      <c r="AJ13" s="39" t="s">
        <v>1833</v>
      </c>
      <c r="AK13" s="42" t="s">
        <v>1834</v>
      </c>
      <c r="AL13" s="42" t="s">
        <v>1835</v>
      </c>
      <c r="AM13" s="42" t="s">
        <v>1836</v>
      </c>
      <c r="AN13" s="42" t="s">
        <v>1837</v>
      </c>
      <c r="AO13" s="42"/>
      <c r="AP13" s="11" t="s">
        <v>1682</v>
      </c>
      <c r="AQ13" s="20" t="s">
        <v>1839</v>
      </c>
      <c r="AR13" s="97" t="s">
        <v>1838</v>
      </c>
    </row>
    <row r="14" spans="1:44" s="16" customFormat="1" ht="13.8" x14ac:dyDescent="0.3">
      <c r="A14" s="20" t="s">
        <v>121</v>
      </c>
      <c r="B14" s="141"/>
      <c r="C14" s="21" t="s">
        <v>655</v>
      </c>
      <c r="D14" s="17" t="s">
        <v>92</v>
      </c>
      <c r="E14" s="21" t="s">
        <v>1384</v>
      </c>
      <c r="F14" s="17" t="s">
        <v>51</v>
      </c>
      <c r="G14" s="24" t="s">
        <v>1485</v>
      </c>
      <c r="H14" s="449" t="s">
        <v>344</v>
      </c>
      <c r="I14" s="296" t="s">
        <v>66</v>
      </c>
      <c r="J14" s="49">
        <v>7331423007585</v>
      </c>
      <c r="K14" s="296" t="s">
        <v>66</v>
      </c>
      <c r="L14" s="83" t="s">
        <v>523</v>
      </c>
      <c r="M14" s="29" t="s">
        <v>327</v>
      </c>
      <c r="N14" s="6">
        <v>39.99</v>
      </c>
      <c r="O14" s="37">
        <v>1</v>
      </c>
      <c r="P14" s="228">
        <v>15</v>
      </c>
      <c r="Q14" s="46">
        <f t="shared" si="0"/>
        <v>0.20723452645378493</v>
      </c>
      <c r="R14" s="35">
        <f t="shared" si="1"/>
        <v>1.7716535433070868</v>
      </c>
      <c r="S14" s="35">
        <f t="shared" si="2"/>
        <v>1.4960629921259843</v>
      </c>
      <c r="T14" s="72">
        <f t="shared" si="3"/>
        <v>8.8582677165354333</v>
      </c>
      <c r="U14" s="46">
        <v>0.25</v>
      </c>
      <c r="V14" s="35">
        <v>1.25</v>
      </c>
      <c r="W14" s="35">
        <v>1.25</v>
      </c>
      <c r="X14" s="72">
        <v>5.875</v>
      </c>
      <c r="Y14" s="46" t="s">
        <v>66</v>
      </c>
      <c r="Z14" s="35" t="s">
        <v>66</v>
      </c>
      <c r="AA14" s="35" t="s">
        <v>66</v>
      </c>
      <c r="AB14" s="72" t="s">
        <v>66</v>
      </c>
      <c r="AC14" s="46">
        <v>4.3</v>
      </c>
      <c r="AD14" s="35">
        <v>9.875</v>
      </c>
      <c r="AE14" s="35">
        <v>5.25</v>
      </c>
      <c r="AF14" s="72">
        <v>10.25</v>
      </c>
      <c r="AG14" s="44">
        <f t="shared" si="16"/>
        <v>0.3075222439236111</v>
      </c>
      <c r="AH14" s="39" t="s">
        <v>1831</v>
      </c>
      <c r="AI14" s="39" t="s">
        <v>1832</v>
      </c>
      <c r="AJ14" s="39" t="s">
        <v>1833</v>
      </c>
      <c r="AK14" s="42" t="s">
        <v>1834</v>
      </c>
      <c r="AL14" s="42" t="s">
        <v>1835</v>
      </c>
      <c r="AM14" s="42" t="s">
        <v>1836</v>
      </c>
      <c r="AN14" s="42" t="s">
        <v>1837</v>
      </c>
      <c r="AO14" s="42"/>
      <c r="AP14" s="11" t="s">
        <v>1682</v>
      </c>
      <c r="AQ14" s="20" t="s">
        <v>1839</v>
      </c>
      <c r="AR14" s="97" t="s">
        <v>1838</v>
      </c>
    </row>
    <row r="15" spans="1:44" s="16" customFormat="1" ht="13.8" x14ac:dyDescent="0.3">
      <c r="A15" s="20" t="s">
        <v>121</v>
      </c>
      <c r="B15" s="141"/>
      <c r="C15" s="21" t="s">
        <v>655</v>
      </c>
      <c r="D15" s="17" t="s">
        <v>87</v>
      </c>
      <c r="E15" s="21" t="s">
        <v>1384</v>
      </c>
      <c r="F15" s="17" t="s">
        <v>54</v>
      </c>
      <c r="G15" s="24" t="s">
        <v>1485</v>
      </c>
      <c r="H15" s="448">
        <v>7331423006427</v>
      </c>
      <c r="I15" s="49" t="s">
        <v>66</v>
      </c>
      <c r="J15" s="49">
        <v>7331423007561</v>
      </c>
      <c r="K15" s="49" t="s">
        <v>66</v>
      </c>
      <c r="L15" s="83" t="s">
        <v>523</v>
      </c>
      <c r="M15" s="29" t="s">
        <v>327</v>
      </c>
      <c r="N15" s="6">
        <v>39.99</v>
      </c>
      <c r="O15" s="37">
        <v>1</v>
      </c>
      <c r="P15" s="228">
        <v>15</v>
      </c>
      <c r="Q15" s="46">
        <f t="shared" si="0"/>
        <v>0.20723452645378493</v>
      </c>
      <c r="R15" s="35">
        <f t="shared" si="1"/>
        <v>1.7716535433070868</v>
      </c>
      <c r="S15" s="35">
        <f t="shared" si="2"/>
        <v>1.4960629921259843</v>
      </c>
      <c r="T15" s="72">
        <f t="shared" si="3"/>
        <v>8.8582677165354333</v>
      </c>
      <c r="U15" s="46">
        <v>0.25</v>
      </c>
      <c r="V15" s="35">
        <v>1.25</v>
      </c>
      <c r="W15" s="35">
        <v>1.25</v>
      </c>
      <c r="X15" s="72">
        <v>5.875</v>
      </c>
      <c r="Y15" s="46" t="s">
        <v>66</v>
      </c>
      <c r="Z15" s="35" t="s">
        <v>66</v>
      </c>
      <c r="AA15" s="35" t="s">
        <v>66</v>
      </c>
      <c r="AB15" s="72" t="s">
        <v>66</v>
      </c>
      <c r="AC15" s="46">
        <v>4.3</v>
      </c>
      <c r="AD15" s="35">
        <v>9.875</v>
      </c>
      <c r="AE15" s="35">
        <v>5.25</v>
      </c>
      <c r="AF15" s="72">
        <v>10.25</v>
      </c>
      <c r="AG15" s="44">
        <f t="shared" si="16"/>
        <v>0.3075222439236111</v>
      </c>
      <c r="AH15" s="39" t="s">
        <v>1831</v>
      </c>
      <c r="AI15" s="39" t="s">
        <v>1832</v>
      </c>
      <c r="AJ15" s="39" t="s">
        <v>1833</v>
      </c>
      <c r="AK15" s="42" t="s">
        <v>1834</v>
      </c>
      <c r="AL15" s="42" t="s">
        <v>1835</v>
      </c>
      <c r="AM15" s="42" t="s">
        <v>1836</v>
      </c>
      <c r="AN15" s="42" t="s">
        <v>1837</v>
      </c>
      <c r="AO15" s="42"/>
      <c r="AP15" s="11" t="s">
        <v>1682</v>
      </c>
      <c r="AQ15" s="20" t="s">
        <v>1839</v>
      </c>
      <c r="AR15" s="97" t="s">
        <v>1838</v>
      </c>
    </row>
    <row r="16" spans="1:44" s="16" customFormat="1" ht="13.8" x14ac:dyDescent="0.3">
      <c r="A16" s="20" t="s">
        <v>121</v>
      </c>
      <c r="B16" s="141"/>
      <c r="C16" s="21" t="s">
        <v>655</v>
      </c>
      <c r="D16" s="17" t="s">
        <v>786</v>
      </c>
      <c r="E16" s="21" t="s">
        <v>1384</v>
      </c>
      <c r="F16" s="16" t="s">
        <v>1712</v>
      </c>
      <c r="G16" s="24" t="s">
        <v>1485</v>
      </c>
      <c r="H16" s="49">
        <v>7331423009909</v>
      </c>
      <c r="I16" s="49" t="s">
        <v>66</v>
      </c>
      <c r="J16" s="49">
        <v>7331423100385</v>
      </c>
      <c r="K16" s="49" t="s">
        <v>66</v>
      </c>
      <c r="L16" s="83" t="s">
        <v>523</v>
      </c>
      <c r="M16" s="29" t="s">
        <v>327</v>
      </c>
      <c r="N16" s="6">
        <v>39.99</v>
      </c>
      <c r="O16" s="37">
        <v>1</v>
      </c>
      <c r="P16" s="228">
        <v>15</v>
      </c>
      <c r="Q16" s="46">
        <f t="shared" si="0"/>
        <v>0.20723452645378493</v>
      </c>
      <c r="R16" s="35">
        <f t="shared" si="1"/>
        <v>1.7716535433070868</v>
      </c>
      <c r="S16" s="35">
        <f t="shared" si="2"/>
        <v>1.4960629921259843</v>
      </c>
      <c r="T16" s="72">
        <f t="shared" si="3"/>
        <v>8.8582677165354333</v>
      </c>
      <c r="U16" s="46">
        <v>0.25</v>
      </c>
      <c r="V16" s="35">
        <v>1.25</v>
      </c>
      <c r="W16" s="35">
        <v>1.25</v>
      </c>
      <c r="X16" s="72">
        <v>5.875</v>
      </c>
      <c r="Y16" s="46" t="s">
        <v>66</v>
      </c>
      <c r="Z16" s="35" t="s">
        <v>66</v>
      </c>
      <c r="AA16" s="35" t="s">
        <v>66</v>
      </c>
      <c r="AB16" s="72" t="s">
        <v>66</v>
      </c>
      <c r="AC16" s="46">
        <v>4.3</v>
      </c>
      <c r="AD16" s="35">
        <v>9.875</v>
      </c>
      <c r="AE16" s="35">
        <v>5.25</v>
      </c>
      <c r="AF16" s="72">
        <v>10.25</v>
      </c>
      <c r="AG16" s="44">
        <f t="shared" si="16"/>
        <v>0.3075222439236111</v>
      </c>
      <c r="AH16" s="39" t="s">
        <v>1831</v>
      </c>
      <c r="AI16" s="39" t="s">
        <v>1832</v>
      </c>
      <c r="AJ16" s="39" t="s">
        <v>1833</v>
      </c>
      <c r="AK16" s="42" t="s">
        <v>1834</v>
      </c>
      <c r="AL16" s="42" t="s">
        <v>1835</v>
      </c>
      <c r="AM16" s="42" t="s">
        <v>1836</v>
      </c>
      <c r="AN16" s="42" t="s">
        <v>1837</v>
      </c>
      <c r="AO16" s="42"/>
      <c r="AP16" s="11" t="s">
        <v>1682</v>
      </c>
      <c r="AQ16" s="20" t="s">
        <v>1839</v>
      </c>
      <c r="AR16" s="97" t="s">
        <v>1838</v>
      </c>
    </row>
    <row r="17" spans="1:44" s="16" customFormat="1" ht="13.8" x14ac:dyDescent="0.3">
      <c r="A17" s="20" t="s">
        <v>121</v>
      </c>
      <c r="B17" s="141"/>
      <c r="C17" s="21" t="s">
        <v>406</v>
      </c>
      <c r="D17" s="17" t="s">
        <v>95</v>
      </c>
      <c r="E17" s="21" t="s">
        <v>1385</v>
      </c>
      <c r="F17" s="16" t="s">
        <v>111</v>
      </c>
      <c r="G17" s="24" t="s">
        <v>1713</v>
      </c>
      <c r="H17" s="32">
        <v>7331423006700</v>
      </c>
      <c r="I17" s="49" t="s">
        <v>66</v>
      </c>
      <c r="J17" s="49" t="s">
        <v>66</v>
      </c>
      <c r="K17" s="49" t="s">
        <v>66</v>
      </c>
      <c r="L17" s="31" t="s">
        <v>364</v>
      </c>
      <c r="M17" s="29" t="s">
        <v>327</v>
      </c>
      <c r="N17" s="7">
        <v>11.99</v>
      </c>
      <c r="O17" s="37">
        <v>1</v>
      </c>
      <c r="P17" s="228">
        <v>6</v>
      </c>
      <c r="Q17" s="46">
        <f>CONVERT(21,"g","lbm")</f>
        <v>4.6297075058824293E-2</v>
      </c>
      <c r="R17" s="35">
        <v>1.25</v>
      </c>
      <c r="S17" s="35">
        <v>0.75</v>
      </c>
      <c r="T17" s="72">
        <v>2.375</v>
      </c>
      <c r="U17" s="46">
        <f t="shared" ref="U17:U23" si="17">CONVERT(0.02,"kg","lbm")</f>
        <v>4.4092452436975516E-2</v>
      </c>
      <c r="V17" s="35">
        <f t="shared" ref="V17:V23" si="18">CONVERT(83,"mm","in")</f>
        <v>3.2677165354330708</v>
      </c>
      <c r="W17" s="35">
        <f t="shared" ref="W17:W23" si="19">CONVERT(20,"mm","in")</f>
        <v>0.78740157480314965</v>
      </c>
      <c r="X17" s="72">
        <f t="shared" ref="X17:X23" si="20">CONVERT(140,"mm","in")</f>
        <v>5.5118110236220472</v>
      </c>
      <c r="Y17" s="46" t="s">
        <v>66</v>
      </c>
      <c r="Z17" s="35" t="s">
        <v>66</v>
      </c>
      <c r="AA17" s="35" t="s">
        <v>66</v>
      </c>
      <c r="AB17" s="72" t="s">
        <v>66</v>
      </c>
      <c r="AC17" s="46">
        <f t="shared" ref="AC17:AC23" si="21">CONVERT(0.134,"kg","lbm")</f>
        <v>0.29541943132773596</v>
      </c>
      <c r="AD17" s="35">
        <f t="shared" ref="AD17:AD23" si="22">CONVERT(200,"mm","in")</f>
        <v>7.8740157480314963</v>
      </c>
      <c r="AE17" s="35">
        <f t="shared" ref="AE17:AE23" si="23">CONVERT(125,"mm","in")</f>
        <v>4.9212598425196852</v>
      </c>
      <c r="AF17" s="72">
        <f t="shared" ref="AF17:AF23" si="24">CONVERT(40,"mm","in")</f>
        <v>1.5748031496062993</v>
      </c>
      <c r="AG17" s="44">
        <f t="shared" si="16"/>
        <v>3.5314666721488593E-2</v>
      </c>
      <c r="AH17" s="39" t="s">
        <v>1840</v>
      </c>
      <c r="AI17" s="39" t="s">
        <v>1844</v>
      </c>
      <c r="AJ17" s="39" t="s">
        <v>1843</v>
      </c>
      <c r="AK17" s="39" t="s">
        <v>1842</v>
      </c>
      <c r="AL17" s="39" t="s">
        <v>1841</v>
      </c>
      <c r="AM17" s="39"/>
      <c r="AN17" s="39"/>
      <c r="AO17" s="39"/>
      <c r="AP17" s="39" t="s">
        <v>1845</v>
      </c>
      <c r="AQ17" s="20" t="s">
        <v>1839</v>
      </c>
      <c r="AR17" s="97" t="s">
        <v>1838</v>
      </c>
    </row>
    <row r="18" spans="1:44" s="16" customFormat="1" ht="13.8" x14ac:dyDescent="0.3">
      <c r="A18" s="20" t="s">
        <v>121</v>
      </c>
      <c r="B18" s="141"/>
      <c r="C18" s="21" t="s">
        <v>406</v>
      </c>
      <c r="D18" s="17" t="s">
        <v>348</v>
      </c>
      <c r="E18" s="21" t="s">
        <v>1385</v>
      </c>
      <c r="F18" s="17" t="s">
        <v>349</v>
      </c>
      <c r="G18" s="24" t="s">
        <v>1713</v>
      </c>
      <c r="H18" s="32">
        <v>7331423006687</v>
      </c>
      <c r="I18" s="49" t="s">
        <v>66</v>
      </c>
      <c r="J18" s="49" t="s">
        <v>66</v>
      </c>
      <c r="K18" s="49" t="s">
        <v>66</v>
      </c>
      <c r="L18" s="31" t="s">
        <v>364</v>
      </c>
      <c r="M18" s="29" t="s">
        <v>327</v>
      </c>
      <c r="N18" s="7">
        <v>11.99</v>
      </c>
      <c r="O18" s="37">
        <v>1</v>
      </c>
      <c r="P18" s="228">
        <v>6</v>
      </c>
      <c r="Q18" s="46">
        <f t="shared" ref="Q18:Q23" si="25">CONVERT(21,"g","lbm")</f>
        <v>4.6297075058824293E-2</v>
      </c>
      <c r="R18" s="35">
        <v>1.25</v>
      </c>
      <c r="S18" s="35">
        <v>0.75</v>
      </c>
      <c r="T18" s="72">
        <v>2.375</v>
      </c>
      <c r="U18" s="46">
        <f t="shared" si="17"/>
        <v>4.4092452436975516E-2</v>
      </c>
      <c r="V18" s="35">
        <f t="shared" si="18"/>
        <v>3.2677165354330708</v>
      </c>
      <c r="W18" s="35">
        <f t="shared" si="19"/>
        <v>0.78740157480314965</v>
      </c>
      <c r="X18" s="72">
        <f t="shared" si="20"/>
        <v>5.5118110236220472</v>
      </c>
      <c r="Y18" s="46" t="s">
        <v>66</v>
      </c>
      <c r="Z18" s="35" t="s">
        <v>66</v>
      </c>
      <c r="AA18" s="35" t="s">
        <v>66</v>
      </c>
      <c r="AB18" s="72" t="s">
        <v>66</v>
      </c>
      <c r="AC18" s="46">
        <f t="shared" si="21"/>
        <v>0.29541943132773596</v>
      </c>
      <c r="AD18" s="35">
        <f t="shared" si="22"/>
        <v>7.8740157480314963</v>
      </c>
      <c r="AE18" s="35">
        <f t="shared" si="23"/>
        <v>4.9212598425196852</v>
      </c>
      <c r="AF18" s="72">
        <f t="shared" si="24"/>
        <v>1.5748031496062993</v>
      </c>
      <c r="AG18" s="44">
        <f t="shared" si="16"/>
        <v>3.5314666721488593E-2</v>
      </c>
      <c r="AH18" s="39" t="s">
        <v>1840</v>
      </c>
      <c r="AI18" s="39" t="s">
        <v>1844</v>
      </c>
      <c r="AJ18" s="39" t="s">
        <v>1843</v>
      </c>
      <c r="AK18" s="39" t="s">
        <v>1842</v>
      </c>
      <c r="AL18" s="39" t="s">
        <v>1841</v>
      </c>
      <c r="AM18" s="39"/>
      <c r="AN18" s="39"/>
      <c r="AO18" s="39"/>
      <c r="AP18" s="39" t="s">
        <v>1845</v>
      </c>
      <c r="AQ18" s="20" t="s">
        <v>1839</v>
      </c>
      <c r="AR18" s="97" t="s">
        <v>1838</v>
      </c>
    </row>
    <row r="19" spans="1:44" s="16" customFormat="1" ht="13.8" x14ac:dyDescent="0.3">
      <c r="A19" s="20" t="s">
        <v>121</v>
      </c>
      <c r="B19" s="141"/>
      <c r="C19" s="21" t="s">
        <v>406</v>
      </c>
      <c r="D19" s="17" t="s">
        <v>784</v>
      </c>
      <c r="E19" s="21" t="s">
        <v>1385</v>
      </c>
      <c r="F19" s="126" t="s">
        <v>882</v>
      </c>
      <c r="G19" s="24" t="s">
        <v>1713</v>
      </c>
      <c r="H19" s="127">
        <v>7331423007950</v>
      </c>
      <c r="I19" s="49" t="s">
        <v>66</v>
      </c>
      <c r="J19" s="49" t="s">
        <v>66</v>
      </c>
      <c r="K19" s="49" t="s">
        <v>66</v>
      </c>
      <c r="L19" s="31" t="s">
        <v>364</v>
      </c>
      <c r="M19" s="29" t="s">
        <v>327</v>
      </c>
      <c r="N19" s="7">
        <v>11.99</v>
      </c>
      <c r="O19" s="37">
        <v>1</v>
      </c>
      <c r="P19" s="228">
        <v>6</v>
      </c>
      <c r="Q19" s="46">
        <f t="shared" si="25"/>
        <v>4.6297075058824293E-2</v>
      </c>
      <c r="R19" s="35">
        <v>1.25</v>
      </c>
      <c r="S19" s="35">
        <v>0.75</v>
      </c>
      <c r="T19" s="72">
        <v>2.375</v>
      </c>
      <c r="U19" s="46">
        <f t="shared" si="17"/>
        <v>4.4092452436975516E-2</v>
      </c>
      <c r="V19" s="35">
        <f t="shared" si="18"/>
        <v>3.2677165354330708</v>
      </c>
      <c r="W19" s="35">
        <f t="shared" si="19"/>
        <v>0.78740157480314965</v>
      </c>
      <c r="X19" s="72">
        <f t="shared" si="20"/>
        <v>5.5118110236220472</v>
      </c>
      <c r="Y19" s="46" t="s">
        <v>66</v>
      </c>
      <c r="Z19" s="35" t="s">
        <v>66</v>
      </c>
      <c r="AA19" s="35" t="s">
        <v>66</v>
      </c>
      <c r="AB19" s="72" t="s">
        <v>66</v>
      </c>
      <c r="AC19" s="46">
        <f t="shared" si="21"/>
        <v>0.29541943132773596</v>
      </c>
      <c r="AD19" s="35">
        <f t="shared" si="22"/>
        <v>7.8740157480314963</v>
      </c>
      <c r="AE19" s="35">
        <f t="shared" si="23"/>
        <v>4.9212598425196852</v>
      </c>
      <c r="AF19" s="72">
        <f t="shared" si="24"/>
        <v>1.5748031496062993</v>
      </c>
      <c r="AG19" s="44">
        <f t="shared" si="16"/>
        <v>3.5314666721488593E-2</v>
      </c>
      <c r="AH19" s="39" t="s">
        <v>1840</v>
      </c>
      <c r="AI19" s="39" t="s">
        <v>1844</v>
      </c>
      <c r="AJ19" s="39" t="s">
        <v>1843</v>
      </c>
      <c r="AK19" s="39" t="s">
        <v>1842</v>
      </c>
      <c r="AL19" s="39" t="s">
        <v>1841</v>
      </c>
      <c r="AM19" s="39"/>
      <c r="AN19" s="39"/>
      <c r="AO19" s="39"/>
      <c r="AP19" s="39" t="s">
        <v>1845</v>
      </c>
      <c r="AQ19" s="20" t="s">
        <v>1839</v>
      </c>
      <c r="AR19" s="97" t="s">
        <v>1838</v>
      </c>
    </row>
    <row r="20" spans="1:44" s="16" customFormat="1" ht="13.8" x14ac:dyDescent="0.3">
      <c r="A20" s="20" t="s">
        <v>121</v>
      </c>
      <c r="B20" s="141"/>
      <c r="C20" s="21" t="s">
        <v>406</v>
      </c>
      <c r="D20" s="17" t="s">
        <v>89</v>
      </c>
      <c r="E20" s="21" t="s">
        <v>1385</v>
      </c>
      <c r="F20" s="17" t="s">
        <v>50</v>
      </c>
      <c r="G20" s="24" t="s">
        <v>1713</v>
      </c>
      <c r="H20" s="32">
        <v>7331423006694</v>
      </c>
      <c r="I20" s="49" t="s">
        <v>66</v>
      </c>
      <c r="J20" s="49" t="s">
        <v>66</v>
      </c>
      <c r="K20" s="49" t="s">
        <v>66</v>
      </c>
      <c r="L20" s="31" t="s">
        <v>364</v>
      </c>
      <c r="M20" s="29" t="s">
        <v>327</v>
      </c>
      <c r="N20" s="7">
        <v>11.99</v>
      </c>
      <c r="O20" s="37">
        <v>1</v>
      </c>
      <c r="P20" s="228">
        <v>6</v>
      </c>
      <c r="Q20" s="46">
        <f t="shared" si="25"/>
        <v>4.6297075058824293E-2</v>
      </c>
      <c r="R20" s="35">
        <v>1.25</v>
      </c>
      <c r="S20" s="35">
        <v>0.75</v>
      </c>
      <c r="T20" s="72">
        <v>2.375</v>
      </c>
      <c r="U20" s="46">
        <f t="shared" si="17"/>
        <v>4.4092452436975516E-2</v>
      </c>
      <c r="V20" s="35">
        <f t="shared" si="18"/>
        <v>3.2677165354330708</v>
      </c>
      <c r="W20" s="35">
        <f t="shared" si="19"/>
        <v>0.78740157480314965</v>
      </c>
      <c r="X20" s="72">
        <f t="shared" si="20"/>
        <v>5.5118110236220472</v>
      </c>
      <c r="Y20" s="46" t="s">
        <v>66</v>
      </c>
      <c r="Z20" s="35" t="s">
        <v>66</v>
      </c>
      <c r="AA20" s="35" t="s">
        <v>66</v>
      </c>
      <c r="AB20" s="72" t="s">
        <v>66</v>
      </c>
      <c r="AC20" s="46">
        <f t="shared" si="21"/>
        <v>0.29541943132773596</v>
      </c>
      <c r="AD20" s="35">
        <f t="shared" si="22"/>
        <v>7.8740157480314963</v>
      </c>
      <c r="AE20" s="35">
        <f t="shared" si="23"/>
        <v>4.9212598425196852</v>
      </c>
      <c r="AF20" s="72">
        <f t="shared" si="24"/>
        <v>1.5748031496062993</v>
      </c>
      <c r="AG20" s="44">
        <f t="shared" si="16"/>
        <v>3.5314666721488593E-2</v>
      </c>
      <c r="AH20" s="39" t="s">
        <v>1840</v>
      </c>
      <c r="AI20" s="39" t="s">
        <v>1844</v>
      </c>
      <c r="AJ20" s="39" t="s">
        <v>1843</v>
      </c>
      <c r="AK20" s="39" t="s">
        <v>1842</v>
      </c>
      <c r="AL20" s="39" t="s">
        <v>1841</v>
      </c>
      <c r="AM20" s="39"/>
      <c r="AN20" s="39"/>
      <c r="AO20" s="39"/>
      <c r="AP20" s="39" t="s">
        <v>1845</v>
      </c>
      <c r="AQ20" s="20" t="s">
        <v>1839</v>
      </c>
      <c r="AR20" s="97" t="s">
        <v>1838</v>
      </c>
    </row>
    <row r="21" spans="1:44" s="16" customFormat="1" ht="13.8" x14ac:dyDescent="0.3">
      <c r="A21" s="20" t="s">
        <v>121</v>
      </c>
      <c r="B21" s="141"/>
      <c r="C21" s="21" t="s">
        <v>406</v>
      </c>
      <c r="D21" s="17" t="s">
        <v>785</v>
      </c>
      <c r="E21" s="21" t="s">
        <v>1385</v>
      </c>
      <c r="F21" s="126" t="s">
        <v>881</v>
      </c>
      <c r="G21" s="24" t="s">
        <v>1713</v>
      </c>
      <c r="H21" s="127">
        <v>7331423007943</v>
      </c>
      <c r="I21" s="49" t="s">
        <v>66</v>
      </c>
      <c r="J21" s="49" t="s">
        <v>66</v>
      </c>
      <c r="K21" s="49" t="s">
        <v>66</v>
      </c>
      <c r="L21" s="31" t="s">
        <v>364</v>
      </c>
      <c r="M21" s="29" t="s">
        <v>327</v>
      </c>
      <c r="N21" s="7">
        <v>11.99</v>
      </c>
      <c r="O21" s="37">
        <v>1</v>
      </c>
      <c r="P21" s="228">
        <v>6</v>
      </c>
      <c r="Q21" s="46">
        <f t="shared" si="25"/>
        <v>4.6297075058824293E-2</v>
      </c>
      <c r="R21" s="35">
        <v>1.25</v>
      </c>
      <c r="S21" s="35">
        <v>0.75</v>
      </c>
      <c r="T21" s="72">
        <v>2.375</v>
      </c>
      <c r="U21" s="46">
        <f t="shared" si="17"/>
        <v>4.4092452436975516E-2</v>
      </c>
      <c r="V21" s="35">
        <f t="shared" si="18"/>
        <v>3.2677165354330708</v>
      </c>
      <c r="W21" s="35">
        <f t="shared" si="19"/>
        <v>0.78740157480314965</v>
      </c>
      <c r="X21" s="72">
        <f t="shared" si="20"/>
        <v>5.5118110236220472</v>
      </c>
      <c r="Y21" s="46" t="s">
        <v>66</v>
      </c>
      <c r="Z21" s="35" t="s">
        <v>66</v>
      </c>
      <c r="AA21" s="35" t="s">
        <v>66</v>
      </c>
      <c r="AB21" s="72" t="s">
        <v>66</v>
      </c>
      <c r="AC21" s="46">
        <f t="shared" si="21"/>
        <v>0.29541943132773596</v>
      </c>
      <c r="AD21" s="35">
        <f t="shared" si="22"/>
        <v>7.8740157480314963</v>
      </c>
      <c r="AE21" s="35">
        <f t="shared" si="23"/>
        <v>4.9212598425196852</v>
      </c>
      <c r="AF21" s="72">
        <f t="shared" si="24"/>
        <v>1.5748031496062993</v>
      </c>
      <c r="AG21" s="44">
        <f t="shared" si="16"/>
        <v>3.5314666721488593E-2</v>
      </c>
      <c r="AH21" s="39" t="s">
        <v>1840</v>
      </c>
      <c r="AI21" s="39" t="s">
        <v>1844</v>
      </c>
      <c r="AJ21" s="39" t="s">
        <v>1843</v>
      </c>
      <c r="AK21" s="39" t="s">
        <v>1842</v>
      </c>
      <c r="AL21" s="39" t="s">
        <v>1841</v>
      </c>
      <c r="AM21" s="39"/>
      <c r="AN21" s="39"/>
      <c r="AO21" s="39"/>
      <c r="AP21" s="39" t="s">
        <v>1845</v>
      </c>
      <c r="AQ21" s="20" t="s">
        <v>1839</v>
      </c>
      <c r="AR21" s="97" t="s">
        <v>1838</v>
      </c>
    </row>
    <row r="22" spans="1:44" s="16" customFormat="1" ht="13.8" x14ac:dyDescent="0.3">
      <c r="A22" s="20" t="s">
        <v>121</v>
      </c>
      <c r="B22" s="141"/>
      <c r="C22" s="21" t="s">
        <v>406</v>
      </c>
      <c r="D22" s="17" t="s">
        <v>92</v>
      </c>
      <c r="E22" s="21" t="s">
        <v>1385</v>
      </c>
      <c r="F22" s="17" t="s">
        <v>51</v>
      </c>
      <c r="G22" s="24" t="s">
        <v>1713</v>
      </c>
      <c r="H22" s="32">
        <v>7331423006717</v>
      </c>
      <c r="I22" s="49" t="s">
        <v>66</v>
      </c>
      <c r="J22" s="49" t="s">
        <v>66</v>
      </c>
      <c r="K22" s="49" t="s">
        <v>66</v>
      </c>
      <c r="L22" s="31" t="s">
        <v>364</v>
      </c>
      <c r="M22" s="29" t="s">
        <v>327</v>
      </c>
      <c r="N22" s="7">
        <v>11.99</v>
      </c>
      <c r="O22" s="37">
        <v>1</v>
      </c>
      <c r="P22" s="228">
        <v>6</v>
      </c>
      <c r="Q22" s="46">
        <f t="shared" si="25"/>
        <v>4.6297075058824293E-2</v>
      </c>
      <c r="R22" s="35">
        <v>1.25</v>
      </c>
      <c r="S22" s="35">
        <v>0.75</v>
      </c>
      <c r="T22" s="72">
        <v>2.375</v>
      </c>
      <c r="U22" s="46">
        <f t="shared" si="17"/>
        <v>4.4092452436975516E-2</v>
      </c>
      <c r="V22" s="35">
        <f t="shared" si="18"/>
        <v>3.2677165354330708</v>
      </c>
      <c r="W22" s="35">
        <f t="shared" si="19"/>
        <v>0.78740157480314965</v>
      </c>
      <c r="X22" s="72">
        <f t="shared" si="20"/>
        <v>5.5118110236220472</v>
      </c>
      <c r="Y22" s="46" t="s">
        <v>66</v>
      </c>
      <c r="Z22" s="35" t="s">
        <v>66</v>
      </c>
      <c r="AA22" s="35" t="s">
        <v>66</v>
      </c>
      <c r="AB22" s="72" t="s">
        <v>66</v>
      </c>
      <c r="AC22" s="46">
        <f t="shared" si="21"/>
        <v>0.29541943132773596</v>
      </c>
      <c r="AD22" s="35">
        <f t="shared" si="22"/>
        <v>7.8740157480314963</v>
      </c>
      <c r="AE22" s="35">
        <f t="shared" si="23"/>
        <v>4.9212598425196852</v>
      </c>
      <c r="AF22" s="72">
        <f t="shared" si="24"/>
        <v>1.5748031496062993</v>
      </c>
      <c r="AG22" s="44">
        <f t="shared" si="16"/>
        <v>3.5314666721488593E-2</v>
      </c>
      <c r="AH22" s="39" t="s">
        <v>1840</v>
      </c>
      <c r="AI22" s="39" t="s">
        <v>1844</v>
      </c>
      <c r="AJ22" s="39" t="s">
        <v>1843</v>
      </c>
      <c r="AK22" s="39" t="s">
        <v>1842</v>
      </c>
      <c r="AL22" s="39" t="s">
        <v>1841</v>
      </c>
      <c r="AM22" s="39"/>
      <c r="AN22" s="39"/>
      <c r="AO22" s="39"/>
      <c r="AP22" s="39" t="s">
        <v>1845</v>
      </c>
      <c r="AQ22" s="20" t="s">
        <v>1839</v>
      </c>
      <c r="AR22" s="97" t="s">
        <v>1838</v>
      </c>
    </row>
    <row r="23" spans="1:44" s="16" customFormat="1" ht="13.8" x14ac:dyDescent="0.3">
      <c r="A23" s="20" t="s">
        <v>121</v>
      </c>
      <c r="B23" s="141"/>
      <c r="C23" s="21" t="s">
        <v>406</v>
      </c>
      <c r="D23" s="17" t="s">
        <v>87</v>
      </c>
      <c r="E23" s="21" t="s">
        <v>1385</v>
      </c>
      <c r="F23" s="17" t="s">
        <v>54</v>
      </c>
      <c r="G23" s="24" t="s">
        <v>1713</v>
      </c>
      <c r="H23" s="32">
        <v>7331423006670</v>
      </c>
      <c r="I23" s="49" t="s">
        <v>66</v>
      </c>
      <c r="J23" s="49" t="s">
        <v>66</v>
      </c>
      <c r="K23" s="49" t="s">
        <v>66</v>
      </c>
      <c r="L23" s="31" t="s">
        <v>364</v>
      </c>
      <c r="M23" s="29" t="s">
        <v>327</v>
      </c>
      <c r="N23" s="7">
        <v>11.99</v>
      </c>
      <c r="O23" s="37">
        <v>1</v>
      </c>
      <c r="P23" s="228">
        <v>6</v>
      </c>
      <c r="Q23" s="46">
        <f t="shared" si="25"/>
        <v>4.6297075058824293E-2</v>
      </c>
      <c r="R23" s="35">
        <v>1.25</v>
      </c>
      <c r="S23" s="35">
        <v>0.75</v>
      </c>
      <c r="T23" s="72">
        <v>2.375</v>
      </c>
      <c r="U23" s="46">
        <f t="shared" si="17"/>
        <v>4.4092452436975516E-2</v>
      </c>
      <c r="V23" s="35">
        <f t="shared" si="18"/>
        <v>3.2677165354330708</v>
      </c>
      <c r="W23" s="35">
        <f t="shared" si="19"/>
        <v>0.78740157480314965</v>
      </c>
      <c r="X23" s="72">
        <f t="shared" si="20"/>
        <v>5.5118110236220472</v>
      </c>
      <c r="Y23" s="46" t="s">
        <v>66</v>
      </c>
      <c r="Z23" s="35" t="s">
        <v>66</v>
      </c>
      <c r="AA23" s="35" t="s">
        <v>66</v>
      </c>
      <c r="AB23" s="72" t="s">
        <v>66</v>
      </c>
      <c r="AC23" s="46">
        <f t="shared" si="21"/>
        <v>0.29541943132773596</v>
      </c>
      <c r="AD23" s="35">
        <f t="shared" si="22"/>
        <v>7.8740157480314963</v>
      </c>
      <c r="AE23" s="35">
        <f t="shared" si="23"/>
        <v>4.9212598425196852</v>
      </c>
      <c r="AF23" s="72">
        <f t="shared" si="24"/>
        <v>1.5748031496062993</v>
      </c>
      <c r="AG23" s="44">
        <f t="shared" si="16"/>
        <v>3.5314666721488593E-2</v>
      </c>
      <c r="AH23" s="39" t="s">
        <v>1840</v>
      </c>
      <c r="AI23" s="39" t="s">
        <v>1844</v>
      </c>
      <c r="AJ23" s="39" t="s">
        <v>1843</v>
      </c>
      <c r="AK23" s="39" t="s">
        <v>1842</v>
      </c>
      <c r="AL23" s="39" t="s">
        <v>1841</v>
      </c>
      <c r="AM23" s="39"/>
      <c r="AN23" s="39"/>
      <c r="AO23" s="39"/>
      <c r="AP23" s="39" t="s">
        <v>1845</v>
      </c>
      <c r="AQ23" s="20" t="s">
        <v>1839</v>
      </c>
      <c r="AR23" s="97" t="s">
        <v>1838</v>
      </c>
    </row>
    <row r="24" spans="1:44" s="20" customFormat="1" x14ac:dyDescent="0.25">
      <c r="B24" s="141"/>
      <c r="C24" s="21"/>
      <c r="D24" s="17" t="s">
        <v>128</v>
      </c>
      <c r="E24" s="21"/>
      <c r="F24" s="126"/>
      <c r="G24" s="126"/>
      <c r="H24" s="127"/>
      <c r="I24" s="127"/>
      <c r="J24" s="127"/>
      <c r="K24" s="127"/>
      <c r="L24" s="30"/>
      <c r="M24" s="38"/>
      <c r="N24" s="7"/>
      <c r="O24" s="37"/>
      <c r="P24" s="228"/>
      <c r="Q24" s="35"/>
      <c r="R24" s="35"/>
      <c r="S24" s="35"/>
      <c r="T24" s="72"/>
      <c r="U24" s="46"/>
      <c r="V24" s="35"/>
      <c r="W24" s="35"/>
      <c r="X24" s="72"/>
      <c r="Y24" s="46"/>
      <c r="Z24" s="35"/>
      <c r="AA24" s="35"/>
      <c r="AB24" s="72"/>
      <c r="AC24" s="46"/>
      <c r="AD24" s="35"/>
      <c r="AE24" s="35"/>
      <c r="AF24" s="72"/>
      <c r="AG24" s="46"/>
      <c r="AH24" s="39"/>
      <c r="AI24" s="39"/>
      <c r="AJ24" s="39"/>
      <c r="AK24" s="39"/>
      <c r="AL24" s="39"/>
      <c r="AM24" s="39"/>
      <c r="AN24" s="39"/>
      <c r="AO24" s="39"/>
      <c r="AP24" s="39"/>
      <c r="AQ24" s="97"/>
    </row>
    <row r="25" spans="1:44" s="109" customFormat="1" ht="15.6" x14ac:dyDescent="0.3">
      <c r="A25" s="109" t="s">
        <v>116</v>
      </c>
      <c r="B25" s="368"/>
      <c r="C25" s="183" t="s">
        <v>128</v>
      </c>
      <c r="D25" s="17" t="s">
        <v>128</v>
      </c>
      <c r="E25" s="184"/>
      <c r="H25" s="185"/>
      <c r="I25" s="185"/>
      <c r="J25" s="185"/>
      <c r="K25" s="185"/>
      <c r="L25" s="185"/>
      <c r="M25" s="185"/>
      <c r="N25" s="186"/>
      <c r="O25" s="187"/>
      <c r="P25" s="274"/>
      <c r="Q25" s="183"/>
      <c r="R25" s="183"/>
      <c r="S25" s="183"/>
      <c r="T25" s="189"/>
      <c r="U25" s="188"/>
      <c r="V25" s="183"/>
      <c r="W25" s="183"/>
      <c r="X25" s="189"/>
      <c r="Y25" s="188"/>
      <c r="Z25" s="183"/>
      <c r="AA25" s="183"/>
      <c r="AB25" s="189"/>
      <c r="AC25" s="188"/>
      <c r="AD25" s="183"/>
      <c r="AE25" s="183"/>
      <c r="AF25" s="189"/>
      <c r="AG25" s="188"/>
      <c r="AH25" s="108"/>
      <c r="AI25" s="108"/>
      <c r="AJ25" s="108"/>
      <c r="AK25" s="108"/>
      <c r="AL25" s="108"/>
      <c r="AM25" s="108"/>
      <c r="AN25" s="108"/>
      <c r="AO25" s="108"/>
      <c r="AP25" s="108"/>
      <c r="AQ25" s="108"/>
      <c r="AR25" s="108"/>
    </row>
    <row r="26" spans="1:44" s="213" customFormat="1" x14ac:dyDescent="0.25">
      <c r="A26" s="213" t="s">
        <v>430</v>
      </c>
      <c r="B26" s="369"/>
      <c r="C26" s="190" t="s">
        <v>128</v>
      </c>
      <c r="D26" s="17" t="s">
        <v>128</v>
      </c>
      <c r="E26" s="190"/>
      <c r="G26" s="20"/>
      <c r="H26" s="232"/>
      <c r="I26" s="232"/>
      <c r="J26" s="232"/>
      <c r="K26" s="232"/>
      <c r="L26" s="214"/>
      <c r="M26" s="211"/>
      <c r="N26" s="215"/>
      <c r="O26" s="216"/>
      <c r="P26" s="275"/>
      <c r="Q26" s="192"/>
      <c r="R26" s="192"/>
      <c r="S26" s="192"/>
      <c r="T26" s="193"/>
      <c r="U26" s="191"/>
      <c r="V26" s="192"/>
      <c r="W26" s="192"/>
      <c r="X26" s="193"/>
      <c r="Y26" s="191"/>
      <c r="Z26" s="192"/>
      <c r="AA26" s="192"/>
      <c r="AB26" s="193"/>
      <c r="AC26" s="191"/>
      <c r="AD26" s="192"/>
      <c r="AE26" s="192"/>
      <c r="AF26" s="193"/>
      <c r="AG26" s="191"/>
      <c r="AH26" s="202"/>
      <c r="AI26" s="202"/>
      <c r="AJ26" s="202"/>
      <c r="AK26" s="202"/>
      <c r="AL26" s="202"/>
      <c r="AM26" s="202"/>
      <c r="AN26" s="202"/>
      <c r="AO26" s="202"/>
      <c r="AP26" s="202"/>
      <c r="AR26" s="220"/>
    </row>
    <row r="27" spans="1:44" s="20" customFormat="1" ht="13.8" x14ac:dyDescent="0.3">
      <c r="A27" s="410" t="s">
        <v>121</v>
      </c>
      <c r="B27" s="411"/>
      <c r="C27" s="421" t="s">
        <v>205</v>
      </c>
      <c r="D27" s="412" t="s">
        <v>71</v>
      </c>
      <c r="E27" s="426" t="s">
        <v>1379</v>
      </c>
      <c r="F27" s="426" t="s">
        <v>180</v>
      </c>
      <c r="G27" s="410" t="s">
        <v>1507</v>
      </c>
      <c r="H27" s="427">
        <v>7331423004379</v>
      </c>
      <c r="I27" s="427"/>
      <c r="J27" s="427"/>
      <c r="K27" s="427"/>
      <c r="L27" s="425" t="s">
        <v>364</v>
      </c>
      <c r="M27" s="415" t="s">
        <v>327</v>
      </c>
      <c r="N27" s="416">
        <v>14.99</v>
      </c>
      <c r="O27" s="417">
        <v>6</v>
      </c>
      <c r="P27" s="418">
        <v>72</v>
      </c>
      <c r="Q27" s="412">
        <f t="shared" ref="Q27:Q36" si="26">CONVERT(27,"g","lbm")</f>
        <v>5.9524810789916942E-2</v>
      </c>
      <c r="R27" s="412">
        <f t="shared" ref="R27:R36" si="27">CONVERT(24,"mm","in")</f>
        <v>0.94488188976377963</v>
      </c>
      <c r="S27" s="412">
        <f t="shared" ref="S27:S36" si="28">CONVERT(14,"mm","in")</f>
        <v>0.55118110236220474</v>
      </c>
      <c r="T27" s="420">
        <f t="shared" ref="T27:T36" si="29">CONVERT(77,"mm","in")</f>
        <v>3.0314960629921264</v>
      </c>
      <c r="U27" s="419">
        <f t="shared" ref="U27:U36" si="30">CONVERT(0.05,"kg","lbm")</f>
        <v>0.11023113109243879</v>
      </c>
      <c r="V27" s="412">
        <f t="shared" ref="V27:V36" si="31">CONVERT(103,"mm","in")</f>
        <v>4.0551181102362204</v>
      </c>
      <c r="W27" s="412">
        <f t="shared" ref="W27:W36" si="32">CONVERT(19,"mm","in")</f>
        <v>0.74803149606299213</v>
      </c>
      <c r="X27" s="420">
        <f t="shared" ref="X27:X36" si="33">CONVERT(200,"mm","in")</f>
        <v>7.8740157480314963</v>
      </c>
      <c r="Y27" s="419">
        <f t="shared" ref="Y27:Y36" si="34">CONVERT(0.3483,"kg","lbm")</f>
        <v>0.76787005918992857</v>
      </c>
      <c r="Z27" s="412">
        <f t="shared" ref="Z27:Z36" si="35">CONVERT(104,"mm","in")</f>
        <v>4.0944881889763778</v>
      </c>
      <c r="AA27" s="412">
        <f t="shared" ref="AA27:AA36" si="36">CONVERT(116,"mm","in")</f>
        <v>4.5669291338582685</v>
      </c>
      <c r="AB27" s="420">
        <f t="shared" ref="AB27:AB36" si="37">CONVERT(215,"mm","in")</f>
        <v>8.4645669291338574</v>
      </c>
      <c r="AC27" s="419">
        <f t="shared" ref="AC27:AC36" si="38">CONVERT(4.544,"kg","lbm")</f>
        <v>10.017805193680836</v>
      </c>
      <c r="AD27" s="412">
        <f t="shared" ref="AD27:AD36" si="39">CONVERT(364,"mm","in")</f>
        <v>14.330708661417322</v>
      </c>
      <c r="AE27" s="412">
        <f t="shared" ref="AE27:AE36" si="40">CONVERT(222,"mm","in")</f>
        <v>8.7401574803149611</v>
      </c>
      <c r="AF27" s="420">
        <f t="shared" ref="AF27:AF36" si="41">CONVERT(440,"mm","in")</f>
        <v>17.322834645669293</v>
      </c>
      <c r="AG27" s="419">
        <f t="shared" ref="AG27:AG36" si="42">AD27*AE27*AF27/(12^3)</f>
        <v>1.2556313389092222</v>
      </c>
      <c r="AH27" s="421" t="s">
        <v>1836</v>
      </c>
      <c r="AI27" s="421" t="s">
        <v>1846</v>
      </c>
      <c r="AJ27" s="421" t="s">
        <v>1847</v>
      </c>
      <c r="AK27" s="410" t="s">
        <v>1848</v>
      </c>
      <c r="AL27" s="428" t="s">
        <v>1849</v>
      </c>
      <c r="AM27" s="428" t="s">
        <v>1850</v>
      </c>
      <c r="AN27" s="428" t="s">
        <v>1851</v>
      </c>
      <c r="AO27" s="428"/>
      <c r="AP27" s="421" t="s">
        <v>1854</v>
      </c>
      <c r="AQ27" s="410" t="s">
        <v>1839</v>
      </c>
      <c r="AR27" s="422" t="s">
        <v>1838</v>
      </c>
    </row>
    <row r="28" spans="1:44" s="16" customFormat="1" ht="13.8" x14ac:dyDescent="0.3">
      <c r="A28" s="16" t="s">
        <v>121</v>
      </c>
      <c r="B28" s="143"/>
      <c r="C28" s="39" t="s">
        <v>205</v>
      </c>
      <c r="D28" s="35" t="s">
        <v>95</v>
      </c>
      <c r="E28" s="47" t="s">
        <v>1379</v>
      </c>
      <c r="F28" s="47" t="s">
        <v>111</v>
      </c>
      <c r="G28" s="20" t="s">
        <v>1507</v>
      </c>
      <c r="H28" s="60" t="s">
        <v>206</v>
      </c>
      <c r="I28" s="60" t="s">
        <v>206</v>
      </c>
      <c r="J28" s="60" t="s">
        <v>206</v>
      </c>
      <c r="K28" s="68" t="s">
        <v>66</v>
      </c>
      <c r="L28" s="31" t="s">
        <v>364</v>
      </c>
      <c r="M28" s="29" t="s">
        <v>327</v>
      </c>
      <c r="N28" s="6">
        <v>14.99</v>
      </c>
      <c r="O28" s="37">
        <v>6</v>
      </c>
      <c r="P28" s="228">
        <v>72</v>
      </c>
      <c r="Q28" s="35">
        <f t="shared" si="26"/>
        <v>5.9524810789916942E-2</v>
      </c>
      <c r="R28" s="35">
        <f t="shared" si="27"/>
        <v>0.94488188976377963</v>
      </c>
      <c r="S28" s="35">
        <f t="shared" si="28"/>
        <v>0.55118110236220474</v>
      </c>
      <c r="T28" s="72">
        <f t="shared" si="29"/>
        <v>3.0314960629921264</v>
      </c>
      <c r="U28" s="46">
        <f t="shared" si="30"/>
        <v>0.11023113109243879</v>
      </c>
      <c r="V28" s="35">
        <f t="shared" si="31"/>
        <v>4.0551181102362204</v>
      </c>
      <c r="W28" s="35">
        <f t="shared" si="32"/>
        <v>0.74803149606299213</v>
      </c>
      <c r="X28" s="72">
        <f t="shared" si="33"/>
        <v>7.8740157480314963</v>
      </c>
      <c r="Y28" s="46">
        <f t="shared" si="34"/>
        <v>0.76787005918992857</v>
      </c>
      <c r="Z28" s="35">
        <f t="shared" si="35"/>
        <v>4.0944881889763778</v>
      </c>
      <c r="AA28" s="35">
        <f t="shared" si="36"/>
        <v>4.5669291338582685</v>
      </c>
      <c r="AB28" s="72">
        <f t="shared" si="37"/>
        <v>8.4645669291338574</v>
      </c>
      <c r="AC28" s="46">
        <f t="shared" si="38"/>
        <v>10.017805193680836</v>
      </c>
      <c r="AD28" s="35">
        <f t="shared" si="39"/>
        <v>14.330708661417322</v>
      </c>
      <c r="AE28" s="35">
        <f t="shared" si="40"/>
        <v>8.7401574803149611</v>
      </c>
      <c r="AF28" s="72">
        <f t="shared" si="41"/>
        <v>17.322834645669293</v>
      </c>
      <c r="AG28" s="44">
        <f t="shared" si="42"/>
        <v>1.2556313389092222</v>
      </c>
      <c r="AH28" s="39" t="s">
        <v>1836</v>
      </c>
      <c r="AI28" s="39" t="s">
        <v>1846</v>
      </c>
      <c r="AJ28" s="39" t="s">
        <v>1847</v>
      </c>
      <c r="AK28" s="20" t="s">
        <v>1848</v>
      </c>
      <c r="AL28" s="42" t="s">
        <v>1849</v>
      </c>
      <c r="AM28" s="42" t="s">
        <v>1850</v>
      </c>
      <c r="AN28" s="42" t="s">
        <v>1851</v>
      </c>
      <c r="AO28" s="42"/>
      <c r="AP28" s="39" t="s">
        <v>1854</v>
      </c>
      <c r="AQ28" s="20" t="s">
        <v>1839</v>
      </c>
      <c r="AR28" s="97" t="s">
        <v>1838</v>
      </c>
    </row>
    <row r="29" spans="1:44" s="16" customFormat="1" ht="13.8" x14ac:dyDescent="0.3">
      <c r="A29" s="16" t="s">
        <v>121</v>
      </c>
      <c r="B29" s="143"/>
      <c r="C29" s="39" t="s">
        <v>205</v>
      </c>
      <c r="D29" s="35" t="s">
        <v>348</v>
      </c>
      <c r="E29" s="47" t="s">
        <v>1379</v>
      </c>
      <c r="F29" s="47" t="s">
        <v>349</v>
      </c>
      <c r="G29" s="20" t="s">
        <v>1507</v>
      </c>
      <c r="H29" s="60">
        <v>7331423005819</v>
      </c>
      <c r="I29" s="68">
        <v>7331423100156</v>
      </c>
      <c r="J29" s="68">
        <v>7331423200313</v>
      </c>
      <c r="K29" s="68">
        <v>17331423200310</v>
      </c>
      <c r="L29" s="31" t="s">
        <v>364</v>
      </c>
      <c r="M29" s="29" t="s">
        <v>327</v>
      </c>
      <c r="N29" s="6">
        <v>14.99</v>
      </c>
      <c r="O29" s="37">
        <v>6</v>
      </c>
      <c r="P29" s="228">
        <v>72</v>
      </c>
      <c r="Q29" s="35">
        <f t="shared" si="26"/>
        <v>5.9524810789916942E-2</v>
      </c>
      <c r="R29" s="35">
        <f t="shared" si="27"/>
        <v>0.94488188976377963</v>
      </c>
      <c r="S29" s="35">
        <f t="shared" si="28"/>
        <v>0.55118110236220474</v>
      </c>
      <c r="T29" s="72">
        <f t="shared" si="29"/>
        <v>3.0314960629921264</v>
      </c>
      <c r="U29" s="46">
        <f t="shared" si="30"/>
        <v>0.11023113109243879</v>
      </c>
      <c r="V29" s="35">
        <f t="shared" si="31"/>
        <v>4.0551181102362204</v>
      </c>
      <c r="W29" s="35">
        <f t="shared" si="32"/>
        <v>0.74803149606299213</v>
      </c>
      <c r="X29" s="72">
        <f t="shared" si="33"/>
        <v>7.8740157480314963</v>
      </c>
      <c r="Y29" s="46">
        <f t="shared" si="34"/>
        <v>0.76787005918992857</v>
      </c>
      <c r="Z29" s="35">
        <f t="shared" si="35"/>
        <v>4.0944881889763778</v>
      </c>
      <c r="AA29" s="35">
        <f t="shared" si="36"/>
        <v>4.5669291338582685</v>
      </c>
      <c r="AB29" s="72">
        <f t="shared" si="37"/>
        <v>8.4645669291338574</v>
      </c>
      <c r="AC29" s="46">
        <f t="shared" si="38"/>
        <v>10.017805193680836</v>
      </c>
      <c r="AD29" s="35">
        <f t="shared" si="39"/>
        <v>14.330708661417322</v>
      </c>
      <c r="AE29" s="35">
        <f t="shared" si="40"/>
        <v>8.7401574803149611</v>
      </c>
      <c r="AF29" s="72">
        <f t="shared" si="41"/>
        <v>17.322834645669293</v>
      </c>
      <c r="AG29" s="44">
        <f t="shared" si="42"/>
        <v>1.2556313389092222</v>
      </c>
      <c r="AH29" s="39" t="s">
        <v>1836</v>
      </c>
      <c r="AI29" s="39" t="s">
        <v>1846</v>
      </c>
      <c r="AJ29" s="39" t="s">
        <v>1847</v>
      </c>
      <c r="AK29" s="20" t="s">
        <v>1848</v>
      </c>
      <c r="AL29" s="42" t="s">
        <v>1849</v>
      </c>
      <c r="AM29" s="42" t="s">
        <v>1850</v>
      </c>
      <c r="AN29" s="42" t="s">
        <v>1851</v>
      </c>
      <c r="AO29" s="42"/>
      <c r="AP29" s="39" t="s">
        <v>1854</v>
      </c>
      <c r="AQ29" s="20" t="s">
        <v>1839</v>
      </c>
      <c r="AR29" s="97" t="s">
        <v>1838</v>
      </c>
    </row>
    <row r="30" spans="1:44" s="16" customFormat="1" ht="13.8" x14ac:dyDescent="0.3">
      <c r="A30" s="16" t="s">
        <v>121</v>
      </c>
      <c r="B30" s="143"/>
      <c r="C30" s="39" t="s">
        <v>205</v>
      </c>
      <c r="D30" s="35" t="s">
        <v>89</v>
      </c>
      <c r="E30" s="47" t="s">
        <v>1379</v>
      </c>
      <c r="F30" s="47" t="s">
        <v>50</v>
      </c>
      <c r="G30" s="20" t="s">
        <v>1507</v>
      </c>
      <c r="H30" s="60" t="s">
        <v>208</v>
      </c>
      <c r="I30" s="68">
        <v>7331423100170</v>
      </c>
      <c r="J30" s="68">
        <v>7331423200337</v>
      </c>
      <c r="K30" s="68">
        <v>17331423200334</v>
      </c>
      <c r="L30" s="31" t="s">
        <v>364</v>
      </c>
      <c r="M30" s="29" t="s">
        <v>327</v>
      </c>
      <c r="N30" s="6">
        <v>14.99</v>
      </c>
      <c r="O30" s="37">
        <v>6</v>
      </c>
      <c r="P30" s="228">
        <v>72</v>
      </c>
      <c r="Q30" s="35">
        <f t="shared" si="26"/>
        <v>5.9524810789916942E-2</v>
      </c>
      <c r="R30" s="35">
        <f t="shared" si="27"/>
        <v>0.94488188976377963</v>
      </c>
      <c r="S30" s="35">
        <f t="shared" si="28"/>
        <v>0.55118110236220474</v>
      </c>
      <c r="T30" s="72">
        <f t="shared" si="29"/>
        <v>3.0314960629921264</v>
      </c>
      <c r="U30" s="46">
        <f t="shared" si="30"/>
        <v>0.11023113109243879</v>
      </c>
      <c r="V30" s="35">
        <f t="shared" si="31"/>
        <v>4.0551181102362204</v>
      </c>
      <c r="W30" s="35">
        <f t="shared" si="32"/>
        <v>0.74803149606299213</v>
      </c>
      <c r="X30" s="72">
        <f t="shared" si="33"/>
        <v>7.8740157480314963</v>
      </c>
      <c r="Y30" s="46">
        <f t="shared" si="34"/>
        <v>0.76787005918992857</v>
      </c>
      <c r="Z30" s="35">
        <f t="shared" si="35"/>
        <v>4.0944881889763778</v>
      </c>
      <c r="AA30" s="35">
        <f t="shared" si="36"/>
        <v>4.5669291338582685</v>
      </c>
      <c r="AB30" s="72">
        <f t="shared" si="37"/>
        <v>8.4645669291338574</v>
      </c>
      <c r="AC30" s="46">
        <f t="shared" si="38"/>
        <v>10.017805193680836</v>
      </c>
      <c r="AD30" s="35">
        <f t="shared" si="39"/>
        <v>14.330708661417322</v>
      </c>
      <c r="AE30" s="35">
        <f t="shared" si="40"/>
        <v>8.7401574803149611</v>
      </c>
      <c r="AF30" s="72">
        <f t="shared" si="41"/>
        <v>17.322834645669293</v>
      </c>
      <c r="AG30" s="44">
        <f t="shared" si="42"/>
        <v>1.2556313389092222</v>
      </c>
      <c r="AH30" s="39" t="s">
        <v>1836</v>
      </c>
      <c r="AI30" s="39" t="s">
        <v>1846</v>
      </c>
      <c r="AJ30" s="39" t="s">
        <v>1847</v>
      </c>
      <c r="AK30" s="20" t="s">
        <v>1848</v>
      </c>
      <c r="AL30" s="42" t="s">
        <v>1849</v>
      </c>
      <c r="AM30" s="42" t="s">
        <v>1850</v>
      </c>
      <c r="AN30" s="42" t="s">
        <v>1851</v>
      </c>
      <c r="AO30" s="42"/>
      <c r="AP30" s="39" t="s">
        <v>1854</v>
      </c>
      <c r="AQ30" s="20" t="s">
        <v>1839</v>
      </c>
      <c r="AR30" s="97" t="s">
        <v>1838</v>
      </c>
    </row>
    <row r="31" spans="1:44" s="16" customFormat="1" ht="13.8" x14ac:dyDescent="0.3">
      <c r="A31" s="16" t="s">
        <v>121</v>
      </c>
      <c r="B31" s="143"/>
      <c r="C31" s="39" t="s">
        <v>205</v>
      </c>
      <c r="D31" s="35" t="s">
        <v>92</v>
      </c>
      <c r="E31" s="47" t="s">
        <v>1379</v>
      </c>
      <c r="F31" s="47" t="s">
        <v>51</v>
      </c>
      <c r="G31" s="20" t="s">
        <v>1507</v>
      </c>
      <c r="H31" s="60">
        <v>7331423004362</v>
      </c>
      <c r="I31" s="68">
        <v>7331423100187</v>
      </c>
      <c r="J31" s="68">
        <v>7331423200726</v>
      </c>
      <c r="K31" s="68">
        <v>17331423201935</v>
      </c>
      <c r="L31" s="31" t="s">
        <v>364</v>
      </c>
      <c r="M31" s="29" t="s">
        <v>327</v>
      </c>
      <c r="N31" s="6">
        <v>14.99</v>
      </c>
      <c r="O31" s="37">
        <v>6</v>
      </c>
      <c r="P31" s="228">
        <v>72</v>
      </c>
      <c r="Q31" s="35">
        <f t="shared" si="26"/>
        <v>5.9524810789916942E-2</v>
      </c>
      <c r="R31" s="35">
        <f t="shared" si="27"/>
        <v>0.94488188976377963</v>
      </c>
      <c r="S31" s="35">
        <f t="shared" si="28"/>
        <v>0.55118110236220474</v>
      </c>
      <c r="T31" s="72">
        <f t="shared" si="29"/>
        <v>3.0314960629921264</v>
      </c>
      <c r="U31" s="46">
        <f t="shared" si="30"/>
        <v>0.11023113109243879</v>
      </c>
      <c r="V31" s="35">
        <f t="shared" si="31"/>
        <v>4.0551181102362204</v>
      </c>
      <c r="W31" s="35">
        <f t="shared" si="32"/>
        <v>0.74803149606299213</v>
      </c>
      <c r="X31" s="72">
        <f t="shared" si="33"/>
        <v>7.8740157480314963</v>
      </c>
      <c r="Y31" s="46">
        <f t="shared" si="34"/>
        <v>0.76787005918992857</v>
      </c>
      <c r="Z31" s="35">
        <f t="shared" si="35"/>
        <v>4.0944881889763778</v>
      </c>
      <c r="AA31" s="35">
        <f t="shared" si="36"/>
        <v>4.5669291338582685</v>
      </c>
      <c r="AB31" s="72">
        <f t="shared" si="37"/>
        <v>8.4645669291338574</v>
      </c>
      <c r="AC31" s="46">
        <f t="shared" si="38"/>
        <v>10.017805193680836</v>
      </c>
      <c r="AD31" s="35">
        <f t="shared" si="39"/>
        <v>14.330708661417322</v>
      </c>
      <c r="AE31" s="35">
        <f t="shared" si="40"/>
        <v>8.7401574803149611</v>
      </c>
      <c r="AF31" s="72">
        <f t="shared" si="41"/>
        <v>17.322834645669293</v>
      </c>
      <c r="AG31" s="44">
        <f t="shared" si="42"/>
        <v>1.2556313389092222</v>
      </c>
      <c r="AH31" s="39" t="s">
        <v>1836</v>
      </c>
      <c r="AI31" s="39" t="s">
        <v>1846</v>
      </c>
      <c r="AJ31" s="39" t="s">
        <v>1847</v>
      </c>
      <c r="AK31" s="20" t="s">
        <v>1848</v>
      </c>
      <c r="AL31" s="42" t="s">
        <v>1849</v>
      </c>
      <c r="AM31" s="42" t="s">
        <v>1850</v>
      </c>
      <c r="AN31" s="42" t="s">
        <v>1851</v>
      </c>
      <c r="AO31" s="42"/>
      <c r="AP31" s="39" t="s">
        <v>1854</v>
      </c>
      <c r="AQ31" s="20" t="s">
        <v>1839</v>
      </c>
      <c r="AR31" s="97" t="s">
        <v>1838</v>
      </c>
    </row>
    <row r="32" spans="1:44" s="16" customFormat="1" ht="13.8" x14ac:dyDescent="0.3">
      <c r="A32" s="16" t="s">
        <v>121</v>
      </c>
      <c r="B32" s="143"/>
      <c r="C32" s="39" t="s">
        <v>205</v>
      </c>
      <c r="D32" s="35" t="s">
        <v>87</v>
      </c>
      <c r="E32" s="47" t="s">
        <v>1379</v>
      </c>
      <c r="F32" s="47" t="s">
        <v>54</v>
      </c>
      <c r="G32" s="20" t="s">
        <v>1507</v>
      </c>
      <c r="H32" s="60" t="s">
        <v>207</v>
      </c>
      <c r="I32" s="68">
        <v>7331423100163</v>
      </c>
      <c r="J32" s="68">
        <v>7331423200320</v>
      </c>
      <c r="K32" s="68">
        <v>17331423200327</v>
      </c>
      <c r="L32" s="31" t="s">
        <v>364</v>
      </c>
      <c r="M32" s="29" t="s">
        <v>327</v>
      </c>
      <c r="N32" s="6">
        <v>14.99</v>
      </c>
      <c r="O32" s="37">
        <v>6</v>
      </c>
      <c r="P32" s="228">
        <v>72</v>
      </c>
      <c r="Q32" s="35">
        <f t="shared" si="26"/>
        <v>5.9524810789916942E-2</v>
      </c>
      <c r="R32" s="35">
        <f t="shared" si="27"/>
        <v>0.94488188976377963</v>
      </c>
      <c r="S32" s="35">
        <f t="shared" si="28"/>
        <v>0.55118110236220474</v>
      </c>
      <c r="T32" s="72">
        <f t="shared" si="29"/>
        <v>3.0314960629921264</v>
      </c>
      <c r="U32" s="46">
        <f t="shared" si="30"/>
        <v>0.11023113109243879</v>
      </c>
      <c r="V32" s="35">
        <f t="shared" si="31"/>
        <v>4.0551181102362204</v>
      </c>
      <c r="W32" s="35">
        <f t="shared" si="32"/>
        <v>0.74803149606299213</v>
      </c>
      <c r="X32" s="72">
        <f t="shared" si="33"/>
        <v>7.8740157480314963</v>
      </c>
      <c r="Y32" s="46">
        <f t="shared" si="34"/>
        <v>0.76787005918992857</v>
      </c>
      <c r="Z32" s="35">
        <f t="shared" si="35"/>
        <v>4.0944881889763778</v>
      </c>
      <c r="AA32" s="35">
        <f t="shared" si="36"/>
        <v>4.5669291338582685</v>
      </c>
      <c r="AB32" s="72">
        <f t="shared" si="37"/>
        <v>8.4645669291338574</v>
      </c>
      <c r="AC32" s="46">
        <f t="shared" si="38"/>
        <v>10.017805193680836</v>
      </c>
      <c r="AD32" s="35">
        <f t="shared" si="39"/>
        <v>14.330708661417322</v>
      </c>
      <c r="AE32" s="35">
        <f t="shared" si="40"/>
        <v>8.7401574803149611</v>
      </c>
      <c r="AF32" s="72">
        <f t="shared" si="41"/>
        <v>17.322834645669293</v>
      </c>
      <c r="AG32" s="44">
        <f t="shared" si="42"/>
        <v>1.2556313389092222</v>
      </c>
      <c r="AH32" s="39" t="s">
        <v>1836</v>
      </c>
      <c r="AI32" s="39" t="s">
        <v>1846</v>
      </c>
      <c r="AJ32" s="39" t="s">
        <v>1847</v>
      </c>
      <c r="AK32" s="20" t="s">
        <v>1848</v>
      </c>
      <c r="AL32" s="42" t="s">
        <v>1849</v>
      </c>
      <c r="AM32" s="42" t="s">
        <v>1850</v>
      </c>
      <c r="AN32" s="42" t="s">
        <v>1851</v>
      </c>
      <c r="AO32" s="42"/>
      <c r="AP32" s="39" t="s">
        <v>1854</v>
      </c>
      <c r="AQ32" s="20" t="s">
        <v>1839</v>
      </c>
      <c r="AR32" s="97" t="s">
        <v>1838</v>
      </c>
    </row>
    <row r="33" spans="1:44" s="16" customFormat="1" ht="13.8" x14ac:dyDescent="0.3">
      <c r="A33" s="16" t="s">
        <v>121</v>
      </c>
      <c r="B33" s="143"/>
      <c r="C33" s="39" t="s">
        <v>205</v>
      </c>
      <c r="D33" s="35" t="s">
        <v>1620</v>
      </c>
      <c r="E33" s="47" t="s">
        <v>1379</v>
      </c>
      <c r="F33" s="47" t="s">
        <v>1698</v>
      </c>
      <c r="G33" s="20" t="s">
        <v>1507</v>
      </c>
      <c r="H33" s="60">
        <v>7331423007233</v>
      </c>
      <c r="I33" s="68">
        <v>7331423100194</v>
      </c>
      <c r="J33" s="68">
        <v>7331423200351</v>
      </c>
      <c r="K33" s="68">
        <v>17331423200358</v>
      </c>
      <c r="L33" s="31" t="s">
        <v>364</v>
      </c>
      <c r="M33" s="29" t="s">
        <v>327</v>
      </c>
      <c r="N33" s="6">
        <v>14.99</v>
      </c>
      <c r="O33" s="37">
        <v>6</v>
      </c>
      <c r="P33" s="228">
        <v>72</v>
      </c>
      <c r="Q33" s="35">
        <f t="shared" si="26"/>
        <v>5.9524810789916942E-2</v>
      </c>
      <c r="R33" s="35">
        <f t="shared" si="27"/>
        <v>0.94488188976377963</v>
      </c>
      <c r="S33" s="35">
        <f t="shared" si="28"/>
        <v>0.55118110236220474</v>
      </c>
      <c r="T33" s="72">
        <f t="shared" si="29"/>
        <v>3.0314960629921264</v>
      </c>
      <c r="U33" s="46">
        <f t="shared" si="30"/>
        <v>0.11023113109243879</v>
      </c>
      <c r="V33" s="35">
        <f t="shared" si="31"/>
        <v>4.0551181102362204</v>
      </c>
      <c r="W33" s="35">
        <f t="shared" si="32"/>
        <v>0.74803149606299213</v>
      </c>
      <c r="X33" s="72">
        <f t="shared" si="33"/>
        <v>7.8740157480314963</v>
      </c>
      <c r="Y33" s="46">
        <f t="shared" si="34"/>
        <v>0.76787005918992857</v>
      </c>
      <c r="Z33" s="35">
        <f t="shared" si="35"/>
        <v>4.0944881889763778</v>
      </c>
      <c r="AA33" s="35">
        <f t="shared" si="36"/>
        <v>4.5669291338582685</v>
      </c>
      <c r="AB33" s="72">
        <f t="shared" si="37"/>
        <v>8.4645669291338574</v>
      </c>
      <c r="AC33" s="46">
        <f t="shared" si="38"/>
        <v>10.017805193680836</v>
      </c>
      <c r="AD33" s="35">
        <f t="shared" si="39"/>
        <v>14.330708661417322</v>
      </c>
      <c r="AE33" s="35">
        <f t="shared" si="40"/>
        <v>8.7401574803149611</v>
      </c>
      <c r="AF33" s="72">
        <f t="shared" si="41"/>
        <v>17.322834645669293</v>
      </c>
      <c r="AG33" s="44">
        <f t="shared" si="42"/>
        <v>1.2556313389092222</v>
      </c>
      <c r="AH33" s="39" t="s">
        <v>1836</v>
      </c>
      <c r="AI33" s="39" t="s">
        <v>1846</v>
      </c>
      <c r="AJ33" s="39" t="s">
        <v>1847</v>
      </c>
      <c r="AK33" s="20" t="s">
        <v>1848</v>
      </c>
      <c r="AL33" s="42" t="s">
        <v>1849</v>
      </c>
      <c r="AM33" s="42" t="s">
        <v>1850</v>
      </c>
      <c r="AN33" s="42" t="s">
        <v>1851</v>
      </c>
      <c r="AO33" s="42"/>
      <c r="AP33" s="39" t="s">
        <v>1854</v>
      </c>
      <c r="AQ33" s="20" t="s">
        <v>1839</v>
      </c>
      <c r="AR33" s="97" t="s">
        <v>1838</v>
      </c>
    </row>
    <row r="34" spans="1:44" s="16" customFormat="1" ht="13.8" x14ac:dyDescent="0.3">
      <c r="A34" s="16" t="s">
        <v>121</v>
      </c>
      <c r="B34" s="143"/>
      <c r="C34" s="39" t="s">
        <v>205</v>
      </c>
      <c r="D34" s="35" t="s">
        <v>784</v>
      </c>
      <c r="E34" s="47" t="s">
        <v>1379</v>
      </c>
      <c r="F34" s="47" t="s">
        <v>882</v>
      </c>
      <c r="G34" s="20" t="s">
        <v>1507</v>
      </c>
      <c r="H34" s="60">
        <v>7331423007882</v>
      </c>
      <c r="I34" s="68">
        <v>7331423100149</v>
      </c>
      <c r="J34" s="68">
        <v>7331423200306</v>
      </c>
      <c r="K34" s="68">
        <v>17331423200303</v>
      </c>
      <c r="L34" s="31" t="s">
        <v>364</v>
      </c>
      <c r="M34" s="29" t="s">
        <v>327</v>
      </c>
      <c r="N34" s="6">
        <v>14.99</v>
      </c>
      <c r="O34" s="37">
        <v>6</v>
      </c>
      <c r="P34" s="228">
        <v>72</v>
      </c>
      <c r="Q34" s="35">
        <f t="shared" si="26"/>
        <v>5.9524810789916942E-2</v>
      </c>
      <c r="R34" s="35">
        <f t="shared" si="27"/>
        <v>0.94488188976377963</v>
      </c>
      <c r="S34" s="35">
        <f t="shared" si="28"/>
        <v>0.55118110236220474</v>
      </c>
      <c r="T34" s="72">
        <f t="shared" si="29"/>
        <v>3.0314960629921264</v>
      </c>
      <c r="U34" s="46">
        <f t="shared" si="30"/>
        <v>0.11023113109243879</v>
      </c>
      <c r="V34" s="35">
        <f t="shared" si="31"/>
        <v>4.0551181102362204</v>
      </c>
      <c r="W34" s="35">
        <f t="shared" si="32"/>
        <v>0.74803149606299213</v>
      </c>
      <c r="X34" s="72">
        <f t="shared" si="33"/>
        <v>7.8740157480314963</v>
      </c>
      <c r="Y34" s="46">
        <f t="shared" si="34"/>
        <v>0.76787005918992857</v>
      </c>
      <c r="Z34" s="35">
        <f t="shared" si="35"/>
        <v>4.0944881889763778</v>
      </c>
      <c r="AA34" s="35">
        <f t="shared" si="36"/>
        <v>4.5669291338582685</v>
      </c>
      <c r="AB34" s="72">
        <f t="shared" si="37"/>
        <v>8.4645669291338574</v>
      </c>
      <c r="AC34" s="46">
        <f t="shared" si="38"/>
        <v>10.017805193680836</v>
      </c>
      <c r="AD34" s="35">
        <f t="shared" si="39"/>
        <v>14.330708661417322</v>
      </c>
      <c r="AE34" s="35">
        <f t="shared" si="40"/>
        <v>8.7401574803149611</v>
      </c>
      <c r="AF34" s="72">
        <f t="shared" si="41"/>
        <v>17.322834645669293</v>
      </c>
      <c r="AG34" s="44">
        <f t="shared" si="42"/>
        <v>1.2556313389092222</v>
      </c>
      <c r="AH34" s="39" t="s">
        <v>1836</v>
      </c>
      <c r="AI34" s="39" t="s">
        <v>1846</v>
      </c>
      <c r="AJ34" s="39" t="s">
        <v>1847</v>
      </c>
      <c r="AK34" s="20" t="s">
        <v>1848</v>
      </c>
      <c r="AL34" s="42" t="s">
        <v>1849</v>
      </c>
      <c r="AM34" s="42" t="s">
        <v>1850</v>
      </c>
      <c r="AN34" s="42" t="s">
        <v>1851</v>
      </c>
      <c r="AO34" s="42"/>
      <c r="AP34" s="39" t="s">
        <v>1854</v>
      </c>
      <c r="AQ34" s="20" t="s">
        <v>1839</v>
      </c>
      <c r="AR34" s="97" t="s">
        <v>1838</v>
      </c>
    </row>
    <row r="35" spans="1:44" s="16" customFormat="1" ht="13.8" x14ac:dyDescent="0.3">
      <c r="A35" s="16" t="s">
        <v>121</v>
      </c>
      <c r="B35" s="143"/>
      <c r="C35" s="39" t="s">
        <v>205</v>
      </c>
      <c r="D35" s="35" t="s">
        <v>785</v>
      </c>
      <c r="E35" s="47" t="s">
        <v>1379</v>
      </c>
      <c r="F35" s="47" t="s">
        <v>881</v>
      </c>
      <c r="G35" s="20" t="s">
        <v>1507</v>
      </c>
      <c r="H35" s="60">
        <v>7331423007875</v>
      </c>
      <c r="I35" s="68">
        <v>7331423100132</v>
      </c>
      <c r="J35" s="68">
        <v>7331423200290</v>
      </c>
      <c r="K35" s="68">
        <v>17331423200297</v>
      </c>
      <c r="L35" s="31" t="s">
        <v>364</v>
      </c>
      <c r="M35" s="29" t="s">
        <v>327</v>
      </c>
      <c r="N35" s="6">
        <v>14.99</v>
      </c>
      <c r="O35" s="37">
        <v>6</v>
      </c>
      <c r="P35" s="228">
        <v>72</v>
      </c>
      <c r="Q35" s="35">
        <f t="shared" si="26"/>
        <v>5.9524810789916942E-2</v>
      </c>
      <c r="R35" s="35">
        <f t="shared" si="27"/>
        <v>0.94488188976377963</v>
      </c>
      <c r="S35" s="35">
        <f t="shared" si="28"/>
        <v>0.55118110236220474</v>
      </c>
      <c r="T35" s="72">
        <f t="shared" si="29"/>
        <v>3.0314960629921264</v>
      </c>
      <c r="U35" s="46">
        <f t="shared" si="30"/>
        <v>0.11023113109243879</v>
      </c>
      <c r="V35" s="35">
        <f t="shared" si="31"/>
        <v>4.0551181102362204</v>
      </c>
      <c r="W35" s="35">
        <f t="shared" si="32"/>
        <v>0.74803149606299213</v>
      </c>
      <c r="X35" s="72">
        <f t="shared" si="33"/>
        <v>7.8740157480314963</v>
      </c>
      <c r="Y35" s="46">
        <f t="shared" si="34"/>
        <v>0.76787005918992857</v>
      </c>
      <c r="Z35" s="35">
        <f t="shared" si="35"/>
        <v>4.0944881889763778</v>
      </c>
      <c r="AA35" s="35">
        <f t="shared" si="36"/>
        <v>4.5669291338582685</v>
      </c>
      <c r="AB35" s="72">
        <f t="shared" si="37"/>
        <v>8.4645669291338574</v>
      </c>
      <c r="AC35" s="46">
        <f t="shared" si="38"/>
        <v>10.017805193680836</v>
      </c>
      <c r="AD35" s="35">
        <f t="shared" si="39"/>
        <v>14.330708661417322</v>
      </c>
      <c r="AE35" s="35">
        <f t="shared" si="40"/>
        <v>8.7401574803149611</v>
      </c>
      <c r="AF35" s="72">
        <f t="shared" si="41"/>
        <v>17.322834645669293</v>
      </c>
      <c r="AG35" s="44">
        <f t="shared" si="42"/>
        <v>1.2556313389092222</v>
      </c>
      <c r="AH35" s="39" t="s">
        <v>1836</v>
      </c>
      <c r="AI35" s="39" t="s">
        <v>1846</v>
      </c>
      <c r="AJ35" s="39" t="s">
        <v>1847</v>
      </c>
      <c r="AK35" s="20" t="s">
        <v>1848</v>
      </c>
      <c r="AL35" s="42" t="s">
        <v>1849</v>
      </c>
      <c r="AM35" s="42" t="s">
        <v>1850</v>
      </c>
      <c r="AN35" s="42" t="s">
        <v>1851</v>
      </c>
      <c r="AO35" s="42"/>
      <c r="AP35" s="39" t="s">
        <v>1854</v>
      </c>
      <c r="AQ35" s="20" t="s">
        <v>1839</v>
      </c>
      <c r="AR35" s="97" t="s">
        <v>1838</v>
      </c>
    </row>
    <row r="36" spans="1:44" s="16" customFormat="1" ht="13.8" x14ac:dyDescent="0.3">
      <c r="A36" s="16" t="s">
        <v>121</v>
      </c>
      <c r="B36" s="143"/>
      <c r="C36" s="39" t="s">
        <v>205</v>
      </c>
      <c r="D36" s="35" t="s">
        <v>786</v>
      </c>
      <c r="E36" s="47" t="s">
        <v>1379</v>
      </c>
      <c r="F36" s="47" t="s">
        <v>1700</v>
      </c>
      <c r="G36" s="20" t="s">
        <v>1507</v>
      </c>
      <c r="H36" s="49">
        <v>7331423007899</v>
      </c>
      <c r="I36" s="68">
        <v>7331423007899</v>
      </c>
      <c r="J36" s="68">
        <v>7331423202256</v>
      </c>
      <c r="K36" s="68">
        <v>17331423200341</v>
      </c>
      <c r="L36" s="31" t="s">
        <v>364</v>
      </c>
      <c r="M36" s="29" t="s">
        <v>327</v>
      </c>
      <c r="N36" s="6">
        <v>14.99</v>
      </c>
      <c r="O36" s="37">
        <v>6</v>
      </c>
      <c r="P36" s="228">
        <v>72</v>
      </c>
      <c r="Q36" s="35">
        <f t="shared" si="26"/>
        <v>5.9524810789916942E-2</v>
      </c>
      <c r="R36" s="35">
        <f t="shared" si="27"/>
        <v>0.94488188976377963</v>
      </c>
      <c r="S36" s="35">
        <f t="shared" si="28"/>
        <v>0.55118110236220474</v>
      </c>
      <c r="T36" s="72">
        <f t="shared" si="29"/>
        <v>3.0314960629921264</v>
      </c>
      <c r="U36" s="46">
        <f t="shared" si="30"/>
        <v>0.11023113109243879</v>
      </c>
      <c r="V36" s="35">
        <f t="shared" si="31"/>
        <v>4.0551181102362204</v>
      </c>
      <c r="W36" s="35">
        <f t="shared" si="32"/>
        <v>0.74803149606299213</v>
      </c>
      <c r="X36" s="72">
        <f t="shared" si="33"/>
        <v>7.8740157480314963</v>
      </c>
      <c r="Y36" s="46">
        <f t="shared" si="34"/>
        <v>0.76787005918992857</v>
      </c>
      <c r="Z36" s="35">
        <f t="shared" si="35"/>
        <v>4.0944881889763778</v>
      </c>
      <c r="AA36" s="35">
        <f t="shared" si="36"/>
        <v>4.5669291338582685</v>
      </c>
      <c r="AB36" s="72">
        <f t="shared" si="37"/>
        <v>8.4645669291338574</v>
      </c>
      <c r="AC36" s="46">
        <f t="shared" si="38"/>
        <v>10.017805193680836</v>
      </c>
      <c r="AD36" s="35">
        <f t="shared" si="39"/>
        <v>14.330708661417322</v>
      </c>
      <c r="AE36" s="35">
        <f t="shared" si="40"/>
        <v>8.7401574803149611</v>
      </c>
      <c r="AF36" s="72">
        <f t="shared" si="41"/>
        <v>17.322834645669293</v>
      </c>
      <c r="AG36" s="44">
        <f t="shared" si="42"/>
        <v>1.2556313389092222</v>
      </c>
      <c r="AH36" s="39" t="s">
        <v>1836</v>
      </c>
      <c r="AI36" s="39" t="s">
        <v>1846</v>
      </c>
      <c r="AJ36" s="39" t="s">
        <v>1847</v>
      </c>
      <c r="AK36" s="20" t="s">
        <v>1848</v>
      </c>
      <c r="AL36" s="42" t="s">
        <v>1849</v>
      </c>
      <c r="AM36" s="42" t="s">
        <v>1850</v>
      </c>
      <c r="AN36" s="42" t="s">
        <v>1851</v>
      </c>
      <c r="AO36" s="42"/>
      <c r="AP36" s="39" t="s">
        <v>1854</v>
      </c>
      <c r="AQ36" s="20" t="s">
        <v>1839</v>
      </c>
      <c r="AR36" s="97" t="s">
        <v>1838</v>
      </c>
    </row>
    <row r="37" spans="1:44" s="213" customFormat="1" x14ac:dyDescent="0.25">
      <c r="A37" s="213" t="s">
        <v>428</v>
      </c>
      <c r="B37" s="369"/>
      <c r="C37" s="190"/>
      <c r="D37" s="35" t="s">
        <v>128</v>
      </c>
      <c r="E37" s="190"/>
      <c r="G37" s="20"/>
      <c r="H37" s="233"/>
      <c r="I37" s="233"/>
      <c r="J37" s="233"/>
      <c r="K37" s="233"/>
      <c r="L37" s="214"/>
      <c r="M37" s="214"/>
      <c r="N37" s="215"/>
      <c r="O37" s="216"/>
      <c r="P37" s="275"/>
      <c r="Q37" s="192"/>
      <c r="R37" s="192"/>
      <c r="S37" s="192"/>
      <c r="T37" s="193"/>
      <c r="U37" s="191"/>
      <c r="V37" s="192"/>
      <c r="W37" s="192"/>
      <c r="X37" s="193"/>
      <c r="Y37" s="191"/>
      <c r="Z37" s="192"/>
      <c r="AA37" s="192"/>
      <c r="AB37" s="193"/>
      <c r="AC37" s="191"/>
      <c r="AD37" s="192"/>
      <c r="AE37" s="192"/>
      <c r="AF37" s="193"/>
      <c r="AG37" s="191"/>
      <c r="AH37" s="202"/>
      <c r="AI37" s="202"/>
      <c r="AJ37" s="202"/>
      <c r="AK37" s="202"/>
      <c r="AL37" s="202"/>
      <c r="AM37" s="202"/>
      <c r="AN37" s="202"/>
      <c r="AO37" s="202"/>
      <c r="AP37" s="202"/>
      <c r="AR37" s="220"/>
    </row>
    <row r="38" spans="1:44" s="16" customFormat="1" ht="13.8" x14ac:dyDescent="0.3">
      <c r="A38" s="16" t="s">
        <v>121</v>
      </c>
      <c r="B38" s="143"/>
      <c r="C38" s="21" t="s">
        <v>209</v>
      </c>
      <c r="D38" s="17" t="s">
        <v>95</v>
      </c>
      <c r="E38" s="21" t="s">
        <v>1380</v>
      </c>
      <c r="F38" s="16" t="s">
        <v>111</v>
      </c>
      <c r="G38" s="20" t="s">
        <v>1507</v>
      </c>
      <c r="H38" s="55" t="s">
        <v>210</v>
      </c>
      <c r="I38" s="56" t="s">
        <v>1703</v>
      </c>
      <c r="J38" s="56" t="s">
        <v>1706</v>
      </c>
      <c r="K38" s="56" t="s">
        <v>1707</v>
      </c>
      <c r="L38" s="31" t="s">
        <v>364</v>
      </c>
      <c r="M38" s="29" t="s">
        <v>327</v>
      </c>
      <c r="N38" s="6">
        <v>19.989999999999998</v>
      </c>
      <c r="O38" s="37">
        <v>6</v>
      </c>
      <c r="P38" s="228">
        <v>72</v>
      </c>
      <c r="Q38" s="35">
        <f>CONVERT(1.8,"ozm","lbm")</f>
        <v>0.1125</v>
      </c>
      <c r="R38" s="35">
        <v>1</v>
      </c>
      <c r="S38" s="35">
        <f>6/16</f>
        <v>0.375</v>
      </c>
      <c r="T38" s="72">
        <v>3.75</v>
      </c>
      <c r="U38" s="46">
        <f>CONVERT(0.073,"kg","lbm")</f>
        <v>0.16093745139496063</v>
      </c>
      <c r="V38" s="35">
        <f>CONVERT(102,"mm","in")</f>
        <v>4.015748031496063</v>
      </c>
      <c r="W38" s="35">
        <f>CONVERT(19,"mm","in")</f>
        <v>0.74803149606299213</v>
      </c>
      <c r="X38" s="72">
        <f>CONVERT(200,"mm","in")</f>
        <v>7.8740157480314963</v>
      </c>
      <c r="Y38" s="46">
        <f>CONVERT(0.47,"kg","lbm")</f>
        <v>1.0361726322689246</v>
      </c>
      <c r="Z38" s="35">
        <f>CONVERT(104,"mm","in")</f>
        <v>4.0944881889763778</v>
      </c>
      <c r="AA38" s="35">
        <f>CONVERT(117,"mm","in")</f>
        <v>4.6062992125984259</v>
      </c>
      <c r="AB38" s="72">
        <f>CONVERT(215,"mm","in")</f>
        <v>8.4645669291338574</v>
      </c>
      <c r="AC38" s="46">
        <f>CONVERT(6.027,"kg","lbm")</f>
        <v>13.287260541882572</v>
      </c>
      <c r="AD38" s="35">
        <f>CONVERT(364,"mm","in")</f>
        <v>14.330708661417322</v>
      </c>
      <c r="AE38" s="35">
        <f>CONVERT(222,"mm","in")</f>
        <v>8.7401574803149611</v>
      </c>
      <c r="AF38" s="72">
        <f>CONVERT(437,"mm","in")</f>
        <v>17.204724409448819</v>
      </c>
      <c r="AG38" s="44">
        <f>AD38*AE38*AF38/(12^3)</f>
        <v>1.2470702161439318</v>
      </c>
      <c r="AH38" s="39" t="s">
        <v>1836</v>
      </c>
      <c r="AI38" s="39" t="s">
        <v>1852</v>
      </c>
      <c r="AJ38" s="39" t="s">
        <v>1847</v>
      </c>
      <c r="AK38" s="20" t="s">
        <v>1848</v>
      </c>
      <c r="AL38" s="42" t="s">
        <v>1849</v>
      </c>
      <c r="AM38" s="42" t="s">
        <v>1850</v>
      </c>
      <c r="AN38" s="42" t="s">
        <v>1853</v>
      </c>
      <c r="AO38" s="42"/>
      <c r="AP38" s="39" t="s">
        <v>1854</v>
      </c>
      <c r="AQ38" s="20" t="s">
        <v>1839</v>
      </c>
      <c r="AR38" s="97" t="s">
        <v>1838</v>
      </c>
    </row>
    <row r="39" spans="1:44" s="16" customFormat="1" ht="13.8" x14ac:dyDescent="0.3">
      <c r="A39" s="16" t="s">
        <v>121</v>
      </c>
      <c r="B39" s="143"/>
      <c r="C39" s="21" t="s">
        <v>209</v>
      </c>
      <c r="D39" s="17" t="s">
        <v>92</v>
      </c>
      <c r="E39" s="21" t="s">
        <v>1380</v>
      </c>
      <c r="F39" s="16" t="s">
        <v>51</v>
      </c>
      <c r="G39" s="20" t="s">
        <v>1507</v>
      </c>
      <c r="H39" s="55" t="s">
        <v>211</v>
      </c>
      <c r="I39" s="56" t="s">
        <v>1704</v>
      </c>
      <c r="J39" s="56" t="s">
        <v>1708</v>
      </c>
      <c r="K39" s="56" t="s">
        <v>1709</v>
      </c>
      <c r="L39" s="31" t="s">
        <v>364</v>
      </c>
      <c r="M39" s="29" t="s">
        <v>327</v>
      </c>
      <c r="N39" s="6">
        <v>19.989999999999998</v>
      </c>
      <c r="O39" s="37">
        <v>6</v>
      </c>
      <c r="P39" s="228">
        <v>72</v>
      </c>
      <c r="Q39" s="35">
        <f>CONVERT(1.8,"ozm","lbm")</f>
        <v>0.1125</v>
      </c>
      <c r="R39" s="35">
        <v>1</v>
      </c>
      <c r="S39" s="35">
        <f>6/16</f>
        <v>0.375</v>
      </c>
      <c r="T39" s="72">
        <v>3.75</v>
      </c>
      <c r="U39" s="46">
        <f>CONVERT(0.073,"kg","lbm")</f>
        <v>0.16093745139496063</v>
      </c>
      <c r="V39" s="35">
        <f>CONVERT(102,"mm","in")</f>
        <v>4.015748031496063</v>
      </c>
      <c r="W39" s="35">
        <f>CONVERT(19,"mm","in")</f>
        <v>0.74803149606299213</v>
      </c>
      <c r="X39" s="72">
        <f>CONVERT(200,"mm","in")</f>
        <v>7.8740157480314963</v>
      </c>
      <c r="Y39" s="46">
        <f>CONVERT(0.47,"kg","lbm")</f>
        <v>1.0361726322689246</v>
      </c>
      <c r="Z39" s="35">
        <f>CONVERT(104,"mm","in")</f>
        <v>4.0944881889763778</v>
      </c>
      <c r="AA39" s="35">
        <f>CONVERT(117,"mm","in")</f>
        <v>4.6062992125984259</v>
      </c>
      <c r="AB39" s="72">
        <f>CONVERT(215,"mm","in")</f>
        <v>8.4645669291338574</v>
      </c>
      <c r="AC39" s="46">
        <f>CONVERT(6.027,"kg","lbm")</f>
        <v>13.287260541882572</v>
      </c>
      <c r="AD39" s="35">
        <f>CONVERT(364,"mm","in")</f>
        <v>14.330708661417322</v>
      </c>
      <c r="AE39" s="35">
        <f>CONVERT(222,"mm","in")</f>
        <v>8.7401574803149611</v>
      </c>
      <c r="AF39" s="72">
        <f>CONVERT(437,"mm","in")</f>
        <v>17.204724409448819</v>
      </c>
      <c r="AG39" s="44">
        <f>AD39*AE39*AF39/(12^3)</f>
        <v>1.2470702161439318</v>
      </c>
      <c r="AH39" s="39" t="s">
        <v>1836</v>
      </c>
      <c r="AI39" s="39" t="s">
        <v>1852</v>
      </c>
      <c r="AJ39" s="39" t="s">
        <v>1847</v>
      </c>
      <c r="AK39" s="20" t="s">
        <v>1848</v>
      </c>
      <c r="AL39" s="42" t="s">
        <v>1849</v>
      </c>
      <c r="AM39" s="42" t="s">
        <v>1850</v>
      </c>
      <c r="AN39" s="42" t="s">
        <v>1853</v>
      </c>
      <c r="AO39" s="42"/>
      <c r="AP39" s="39" t="s">
        <v>1854</v>
      </c>
      <c r="AQ39" s="20" t="s">
        <v>1839</v>
      </c>
      <c r="AR39" s="97" t="s">
        <v>1838</v>
      </c>
    </row>
    <row r="40" spans="1:44" s="16" customFormat="1" ht="13.8" x14ac:dyDescent="0.3">
      <c r="A40" s="16" t="s">
        <v>121</v>
      </c>
      <c r="B40" s="143"/>
      <c r="C40" s="21" t="s">
        <v>209</v>
      </c>
      <c r="D40" s="17" t="s">
        <v>1620</v>
      </c>
      <c r="E40" s="21" t="s">
        <v>1380</v>
      </c>
      <c r="F40" s="47" t="s">
        <v>1698</v>
      </c>
      <c r="G40" s="20" t="s">
        <v>1507</v>
      </c>
      <c r="H40" s="96" t="s">
        <v>677</v>
      </c>
      <c r="I40" s="56" t="s">
        <v>1705</v>
      </c>
      <c r="J40" s="56" t="s">
        <v>1710</v>
      </c>
      <c r="K40" s="56" t="s">
        <v>1711</v>
      </c>
      <c r="L40" s="31" t="s">
        <v>364</v>
      </c>
      <c r="M40" s="29" t="s">
        <v>327</v>
      </c>
      <c r="N40" s="6">
        <v>19.989999999999998</v>
      </c>
      <c r="O40" s="37">
        <v>6</v>
      </c>
      <c r="P40" s="228">
        <v>72</v>
      </c>
      <c r="Q40" s="35">
        <f>CONVERT(1.8,"ozm","lbm")</f>
        <v>0.1125</v>
      </c>
      <c r="R40" s="35">
        <v>1</v>
      </c>
      <c r="S40" s="35">
        <f>6/16</f>
        <v>0.375</v>
      </c>
      <c r="T40" s="72">
        <v>3.75</v>
      </c>
      <c r="U40" s="46">
        <f>CONVERT(0.073,"kg","lbm")</f>
        <v>0.16093745139496063</v>
      </c>
      <c r="V40" s="35">
        <f>CONVERT(102,"mm","in")</f>
        <v>4.015748031496063</v>
      </c>
      <c r="W40" s="35">
        <f>CONVERT(19,"mm","in")</f>
        <v>0.74803149606299213</v>
      </c>
      <c r="X40" s="72">
        <f>CONVERT(200,"mm","in")</f>
        <v>7.8740157480314963</v>
      </c>
      <c r="Y40" s="46">
        <f>CONVERT(0.47,"kg","lbm")</f>
        <v>1.0361726322689246</v>
      </c>
      <c r="Z40" s="35">
        <f>CONVERT(104,"mm","in")</f>
        <v>4.0944881889763778</v>
      </c>
      <c r="AA40" s="35">
        <f>CONVERT(117,"mm","in")</f>
        <v>4.6062992125984259</v>
      </c>
      <c r="AB40" s="72">
        <f>CONVERT(215,"mm","in")</f>
        <v>8.4645669291338574</v>
      </c>
      <c r="AC40" s="46">
        <f>CONVERT(6.027,"kg","lbm")</f>
        <v>13.287260541882572</v>
      </c>
      <c r="AD40" s="35">
        <f>CONVERT(364,"mm","in")</f>
        <v>14.330708661417322</v>
      </c>
      <c r="AE40" s="35">
        <f>CONVERT(222,"mm","in")</f>
        <v>8.7401574803149611</v>
      </c>
      <c r="AF40" s="72">
        <f>CONVERT(437,"mm","in")</f>
        <v>17.204724409448819</v>
      </c>
      <c r="AG40" s="44">
        <f>AD40*AE40*AF40/(12^3)</f>
        <v>1.2470702161439318</v>
      </c>
      <c r="AH40" s="39" t="s">
        <v>1836</v>
      </c>
      <c r="AI40" s="39" t="s">
        <v>1852</v>
      </c>
      <c r="AJ40" s="39" t="s">
        <v>1847</v>
      </c>
      <c r="AK40" s="20" t="s">
        <v>1848</v>
      </c>
      <c r="AL40" s="42" t="s">
        <v>1849</v>
      </c>
      <c r="AM40" s="42" t="s">
        <v>1850</v>
      </c>
      <c r="AN40" s="42" t="s">
        <v>1853</v>
      </c>
      <c r="AO40" s="42"/>
      <c r="AP40" s="39" t="s">
        <v>1854</v>
      </c>
      <c r="AQ40" s="20" t="s">
        <v>1839</v>
      </c>
      <c r="AR40" s="97" t="s">
        <v>1838</v>
      </c>
    </row>
    <row r="41" spans="1:44" s="213" customFormat="1" x14ac:dyDescent="0.25">
      <c r="A41" s="213" t="s">
        <v>431</v>
      </c>
      <c r="B41" s="369"/>
      <c r="C41" s="192"/>
      <c r="D41" s="35" t="s">
        <v>128</v>
      </c>
      <c r="E41" s="241"/>
      <c r="H41" s="211"/>
      <c r="I41" s="211"/>
      <c r="J41" s="211"/>
      <c r="K41" s="211"/>
      <c r="L41" s="211"/>
      <c r="M41" s="211"/>
      <c r="N41" s="215"/>
      <c r="O41" s="216"/>
      <c r="P41" s="275"/>
      <c r="Q41" s="192"/>
      <c r="R41" s="192"/>
      <c r="S41" s="192"/>
      <c r="T41" s="193"/>
      <c r="U41" s="191"/>
      <c r="V41" s="192"/>
      <c r="W41" s="192"/>
      <c r="X41" s="193"/>
      <c r="Y41" s="191"/>
      <c r="Z41" s="192"/>
      <c r="AA41" s="192"/>
      <c r="AB41" s="193"/>
      <c r="AC41" s="191"/>
      <c r="AD41" s="192"/>
      <c r="AE41" s="192"/>
      <c r="AF41" s="193"/>
      <c r="AG41" s="191"/>
    </row>
    <row r="42" spans="1:44" s="20" customFormat="1" ht="13.8" x14ac:dyDescent="0.3">
      <c r="A42" s="20" t="s">
        <v>121</v>
      </c>
      <c r="B42" s="141"/>
      <c r="C42" s="21" t="s">
        <v>94</v>
      </c>
      <c r="D42" s="17" t="s">
        <v>87</v>
      </c>
      <c r="E42" s="21" t="s">
        <v>1381</v>
      </c>
      <c r="F42" s="20" t="s">
        <v>54</v>
      </c>
      <c r="G42" s="20" t="s">
        <v>1507</v>
      </c>
      <c r="H42" s="49">
        <v>7331423003105</v>
      </c>
      <c r="I42" s="49">
        <v>7331423100040</v>
      </c>
      <c r="J42" s="49">
        <v>7331423200207</v>
      </c>
      <c r="K42" s="49">
        <v>17331423201904</v>
      </c>
      <c r="L42" s="31" t="s">
        <v>364</v>
      </c>
      <c r="M42" s="29" t="s">
        <v>327</v>
      </c>
      <c r="N42" s="6">
        <v>14.99</v>
      </c>
      <c r="O42" s="37">
        <v>12</v>
      </c>
      <c r="P42" s="228">
        <v>72</v>
      </c>
      <c r="Q42" s="135"/>
      <c r="R42" s="35">
        <v>0.9375</v>
      </c>
      <c r="S42" s="35">
        <v>0.6875</v>
      </c>
      <c r="T42" s="72">
        <v>3</v>
      </c>
      <c r="U42" s="46">
        <v>0.1</v>
      </c>
      <c r="V42" s="35">
        <v>2.75</v>
      </c>
      <c r="W42" s="35">
        <v>0.625</v>
      </c>
      <c r="X42" s="72">
        <v>5.6875</v>
      </c>
      <c r="Y42" s="46">
        <v>1.05</v>
      </c>
      <c r="Z42" s="35">
        <v>8</v>
      </c>
      <c r="AA42" s="35">
        <v>3.25</v>
      </c>
      <c r="AB42" s="72">
        <v>6</v>
      </c>
      <c r="AC42" s="46">
        <v>6.9</v>
      </c>
      <c r="AD42" s="35">
        <v>16.25</v>
      </c>
      <c r="AE42" s="35">
        <v>10.25</v>
      </c>
      <c r="AF42" s="72">
        <v>6.5</v>
      </c>
      <c r="AG42" s="46">
        <f>AD42*AE42*AF42/(12^3)</f>
        <v>0.62653718171296291</v>
      </c>
      <c r="AH42" s="39" t="s">
        <v>1836</v>
      </c>
      <c r="AI42" s="39" t="s">
        <v>1846</v>
      </c>
      <c r="AJ42" s="39" t="s">
        <v>1847</v>
      </c>
      <c r="AK42" s="20" t="s">
        <v>1848</v>
      </c>
      <c r="AL42" s="42" t="s">
        <v>1850</v>
      </c>
      <c r="AM42" s="42" t="s">
        <v>1856</v>
      </c>
      <c r="AN42" s="16"/>
      <c r="AO42" s="39"/>
      <c r="AP42" s="39" t="s">
        <v>1855</v>
      </c>
      <c r="AQ42" s="20" t="s">
        <v>1839</v>
      </c>
      <c r="AR42" s="97" t="s">
        <v>1838</v>
      </c>
    </row>
    <row r="43" spans="1:44" s="213" customFormat="1" x14ac:dyDescent="0.25">
      <c r="A43" s="213" t="s">
        <v>429</v>
      </c>
      <c r="B43" s="369"/>
      <c r="C43" s="190"/>
      <c r="D43" s="35" t="s">
        <v>128</v>
      </c>
      <c r="E43" s="190"/>
      <c r="G43" s="20"/>
      <c r="H43" s="232"/>
      <c r="I43" s="232"/>
      <c r="J43" s="232"/>
      <c r="K43" s="232"/>
      <c r="L43" s="214"/>
      <c r="M43" s="211"/>
      <c r="N43" s="215"/>
      <c r="O43" s="216"/>
      <c r="P43" s="275"/>
      <c r="Q43" s="192"/>
      <c r="R43" s="192"/>
      <c r="S43" s="192"/>
      <c r="T43" s="193"/>
      <c r="U43" s="191"/>
      <c r="V43" s="192"/>
      <c r="W43" s="192"/>
      <c r="X43" s="193"/>
      <c r="Y43" s="191"/>
      <c r="Z43" s="192"/>
      <c r="AA43" s="192"/>
      <c r="AB43" s="193"/>
      <c r="AC43" s="191"/>
      <c r="AD43" s="192"/>
      <c r="AE43" s="192"/>
      <c r="AF43" s="193"/>
      <c r="AG43" s="191"/>
      <c r="AH43" s="202"/>
      <c r="AI43" s="202"/>
      <c r="AJ43" s="202"/>
      <c r="AK43" s="202"/>
      <c r="AL43" s="202"/>
      <c r="AM43" s="202"/>
      <c r="AN43" s="202"/>
      <c r="AO43" s="202"/>
      <c r="AP43" s="202"/>
      <c r="AR43" s="220"/>
    </row>
    <row r="44" spans="1:44" s="16" customFormat="1" ht="13.8" x14ac:dyDescent="0.3">
      <c r="A44" s="16" t="s">
        <v>121</v>
      </c>
      <c r="B44" s="143"/>
      <c r="C44" s="21" t="s">
        <v>93</v>
      </c>
      <c r="D44" s="17" t="s">
        <v>95</v>
      </c>
      <c r="E44" s="21" t="s">
        <v>1382</v>
      </c>
      <c r="F44" s="16" t="s">
        <v>111</v>
      </c>
      <c r="G44" s="20" t="s">
        <v>1507</v>
      </c>
      <c r="H44" s="32">
        <v>7331423002108</v>
      </c>
      <c r="I44" s="49">
        <v>7331423002108</v>
      </c>
      <c r="J44" s="49">
        <v>7331423002108</v>
      </c>
      <c r="K44" s="49" t="s">
        <v>66</v>
      </c>
      <c r="L44" s="31" t="s">
        <v>364</v>
      </c>
      <c r="M44" s="29" t="s">
        <v>327</v>
      </c>
      <c r="N44" s="6">
        <v>22.99</v>
      </c>
      <c r="O44" s="37">
        <v>12</v>
      </c>
      <c r="P44" s="228">
        <v>72</v>
      </c>
      <c r="Q44" s="135"/>
      <c r="R44" s="35">
        <v>0.9375</v>
      </c>
      <c r="S44" s="35">
        <v>0.625</v>
      </c>
      <c r="T44" s="72">
        <v>3.375</v>
      </c>
      <c r="U44" s="46">
        <v>0.1</v>
      </c>
      <c r="V44" s="35">
        <v>3.125</v>
      </c>
      <c r="W44" s="35">
        <v>0.625</v>
      </c>
      <c r="X44" s="72">
        <v>5.875</v>
      </c>
      <c r="Y44" s="46">
        <v>1.55</v>
      </c>
      <c r="Z44" s="35">
        <v>8</v>
      </c>
      <c r="AA44" s="35">
        <v>3.25</v>
      </c>
      <c r="AB44" s="72">
        <v>6</v>
      </c>
      <c r="AC44" s="46">
        <v>10</v>
      </c>
      <c r="AD44" s="35">
        <v>16.25</v>
      </c>
      <c r="AE44" s="35">
        <v>10.125</v>
      </c>
      <c r="AF44" s="72">
        <v>6.625</v>
      </c>
      <c r="AG44" s="44">
        <f>AD44*AE44*AF44/(12^3)</f>
        <v>0.63079833984375</v>
      </c>
      <c r="AH44" s="39" t="s">
        <v>1836</v>
      </c>
      <c r="AI44" s="39" t="s">
        <v>1852</v>
      </c>
      <c r="AJ44" s="39" t="s">
        <v>1847</v>
      </c>
      <c r="AK44" s="20" t="s">
        <v>1848</v>
      </c>
      <c r="AL44" s="42" t="s">
        <v>1850</v>
      </c>
      <c r="AM44" s="42" t="s">
        <v>1857</v>
      </c>
      <c r="AO44" s="39"/>
      <c r="AP44" s="39" t="s">
        <v>1855</v>
      </c>
      <c r="AQ44" s="20" t="s">
        <v>1839</v>
      </c>
      <c r="AR44" s="97" t="s">
        <v>1838</v>
      </c>
    </row>
    <row r="45" spans="1:44" s="20" customFormat="1" x14ac:dyDescent="0.25">
      <c r="B45" s="141"/>
      <c r="C45" s="35"/>
      <c r="D45" s="35" t="s">
        <v>128</v>
      </c>
      <c r="E45" s="36"/>
      <c r="H45" s="80"/>
      <c r="I45" s="80"/>
      <c r="J45" s="80"/>
      <c r="K45" s="80"/>
      <c r="L45" s="30"/>
      <c r="M45" s="38"/>
      <c r="N45" s="7"/>
      <c r="O45" s="37"/>
      <c r="P45" s="228"/>
      <c r="Q45" s="35"/>
      <c r="R45" s="35"/>
      <c r="S45" s="35"/>
      <c r="T45" s="72"/>
      <c r="U45" s="46"/>
      <c r="V45" s="35"/>
      <c r="W45" s="35"/>
      <c r="X45" s="72"/>
      <c r="Y45" s="46"/>
      <c r="Z45" s="35"/>
      <c r="AA45" s="35"/>
      <c r="AB45" s="72"/>
      <c r="AC45" s="46"/>
      <c r="AD45" s="35"/>
      <c r="AE45" s="35"/>
      <c r="AF45" s="72"/>
      <c r="AG45" s="46"/>
      <c r="AH45" s="39"/>
      <c r="AI45" s="39"/>
      <c r="AJ45" s="39"/>
      <c r="AK45" s="39"/>
      <c r="AL45" s="39"/>
      <c r="AM45" s="39"/>
      <c r="AN45" s="39"/>
      <c r="AO45" s="39"/>
      <c r="AP45" s="39"/>
      <c r="AQ45" s="97"/>
    </row>
    <row r="46" spans="1:44" s="108" customFormat="1" ht="15.6" x14ac:dyDescent="0.3">
      <c r="A46" s="362" t="s">
        <v>102</v>
      </c>
      <c r="B46" s="362"/>
      <c r="C46" s="362"/>
      <c r="D46" s="35" t="s">
        <v>128</v>
      </c>
      <c r="E46" s="234"/>
      <c r="H46" s="203"/>
      <c r="I46" s="203"/>
      <c r="J46" s="203"/>
      <c r="K46" s="203"/>
      <c r="L46" s="203"/>
      <c r="M46" s="203"/>
      <c r="N46" s="205"/>
      <c r="O46" s="206"/>
      <c r="P46" s="276"/>
      <c r="Q46" s="35"/>
      <c r="R46" s="196"/>
      <c r="S46" s="196"/>
      <c r="T46" s="197"/>
      <c r="U46" s="46"/>
      <c r="V46" s="35"/>
      <c r="W46" s="35"/>
      <c r="X46" s="72"/>
      <c r="Y46" s="195"/>
      <c r="Z46" s="196"/>
      <c r="AA46" s="196"/>
      <c r="AB46" s="197"/>
      <c r="AC46" s="46"/>
      <c r="AD46" s="35"/>
      <c r="AE46" s="35"/>
      <c r="AF46" s="72"/>
      <c r="AG46" s="195"/>
    </row>
    <row r="47" spans="1:44" s="16" customFormat="1" ht="13.8" x14ac:dyDescent="0.3">
      <c r="A47" s="16" t="s">
        <v>121</v>
      </c>
      <c r="B47" s="371"/>
      <c r="C47" s="35" t="s">
        <v>130</v>
      </c>
      <c r="D47" s="17" t="s">
        <v>128</v>
      </c>
      <c r="E47" s="18" t="s">
        <v>1399</v>
      </c>
      <c r="F47" s="16" t="s">
        <v>278</v>
      </c>
      <c r="G47" s="16" t="s">
        <v>1797</v>
      </c>
      <c r="H47" s="34">
        <v>7331423002979</v>
      </c>
      <c r="I47" s="49" t="s">
        <v>66</v>
      </c>
      <c r="J47" s="50">
        <v>7331423200566</v>
      </c>
      <c r="K47" s="50">
        <v>17331423200563</v>
      </c>
      <c r="L47" s="29" t="s">
        <v>362</v>
      </c>
      <c r="M47" s="29" t="s">
        <v>331</v>
      </c>
      <c r="N47" s="6">
        <v>6.99</v>
      </c>
      <c r="O47" s="37">
        <v>1</v>
      </c>
      <c r="P47" s="228">
        <v>60</v>
      </c>
      <c r="Q47" s="271" t="s">
        <v>1475</v>
      </c>
      <c r="R47" s="151" t="s">
        <v>1621</v>
      </c>
      <c r="S47" s="151" t="s">
        <v>1622</v>
      </c>
      <c r="T47" s="152" t="s">
        <v>1622</v>
      </c>
      <c r="U47" s="271" t="s">
        <v>1475</v>
      </c>
      <c r="V47" s="151" t="s">
        <v>1476</v>
      </c>
      <c r="W47" s="151" t="s">
        <v>1477</v>
      </c>
      <c r="X47" s="152" t="s">
        <v>1478</v>
      </c>
      <c r="Y47" s="46" t="s">
        <v>66</v>
      </c>
      <c r="Z47" s="35" t="s">
        <v>66</v>
      </c>
      <c r="AA47" s="35" t="s">
        <v>66</v>
      </c>
      <c r="AB47" s="72" t="s">
        <v>66</v>
      </c>
      <c r="AC47" s="271" t="s">
        <v>1479</v>
      </c>
      <c r="AD47" s="35">
        <v>11.625</v>
      </c>
      <c r="AE47" s="35">
        <v>8.75</v>
      </c>
      <c r="AF47" s="72">
        <v>19.5</v>
      </c>
      <c r="AG47" s="44">
        <f>AD47*AE47*AF47/(12^3)</f>
        <v>1.1478678385416667</v>
      </c>
      <c r="AH47" s="39" t="s">
        <v>1863</v>
      </c>
      <c r="AI47" s="39" t="s">
        <v>1864</v>
      </c>
      <c r="AJ47" s="39" t="s">
        <v>1865</v>
      </c>
      <c r="AK47" s="39" t="s">
        <v>96</v>
      </c>
      <c r="AL47" s="20" t="s">
        <v>1867</v>
      </c>
      <c r="AM47" s="39"/>
      <c r="AN47" s="39"/>
      <c r="AO47" s="39"/>
      <c r="AP47" s="39" t="s">
        <v>1866</v>
      </c>
      <c r="AQ47" s="97" t="s">
        <v>1838</v>
      </c>
      <c r="AR47" s="20"/>
    </row>
    <row r="48" spans="1:44" s="16" customFormat="1" ht="13.8" x14ac:dyDescent="0.3">
      <c r="A48" s="16" t="s">
        <v>121</v>
      </c>
      <c r="B48" s="371"/>
      <c r="C48" s="35" t="s">
        <v>273</v>
      </c>
      <c r="D48" s="17" t="s">
        <v>128</v>
      </c>
      <c r="E48" s="18" t="s">
        <v>1714</v>
      </c>
      <c r="F48" s="16" t="s">
        <v>278</v>
      </c>
      <c r="G48" s="17" t="s">
        <v>1796</v>
      </c>
      <c r="H48" s="34">
        <v>7331423005802</v>
      </c>
      <c r="I48" s="50">
        <v>7331423100347</v>
      </c>
      <c r="J48" s="50">
        <v>7331423200573</v>
      </c>
      <c r="K48" s="50">
        <v>17331423200570</v>
      </c>
      <c r="L48" s="29" t="s">
        <v>362</v>
      </c>
      <c r="M48" s="29" t="s">
        <v>331</v>
      </c>
      <c r="N48" s="6">
        <v>4.99</v>
      </c>
      <c r="O48" s="37">
        <v>12</v>
      </c>
      <c r="P48" s="228">
        <v>144</v>
      </c>
      <c r="Q48" s="245">
        <v>0.1</v>
      </c>
      <c r="R48" s="154">
        <v>1.625</v>
      </c>
      <c r="S48" s="154">
        <v>0.625</v>
      </c>
      <c r="T48" s="155">
        <v>9</v>
      </c>
      <c r="U48" s="46">
        <f>CONVERT(0.056,"kg","lbm")</f>
        <v>0.12345886682353145</v>
      </c>
      <c r="V48" s="154">
        <v>1.625</v>
      </c>
      <c r="W48" s="154">
        <v>0.625</v>
      </c>
      <c r="X48" s="155">
        <v>9</v>
      </c>
      <c r="Y48" s="46">
        <f>CONVERT(0.764,"kg","lbm")</f>
        <v>1.6843316830924646</v>
      </c>
      <c r="Z48" s="35">
        <f>CONVERT(145,"mm","in")</f>
        <v>5.7086614173228343</v>
      </c>
      <c r="AA48" s="35">
        <f>CONVERT(62,"mm","in")</f>
        <v>2.4409448818897634</v>
      </c>
      <c r="AB48" s="72">
        <f>CONVERT(205,"mm","in")</f>
        <v>8.0708661417322833</v>
      </c>
      <c r="AC48" s="46">
        <f>CONVERT(9.6,"kg","lbm")</f>
        <v>21.164377169748246</v>
      </c>
      <c r="AD48" s="35">
        <f>CONVERT(400,"mm","in")</f>
        <v>15.748031496062993</v>
      </c>
      <c r="AE48" s="35">
        <f>CONVERT(350,"mm","in")</f>
        <v>13.779527559055117</v>
      </c>
      <c r="AF48" s="72">
        <f>CONVERT(225,"mm","in")</f>
        <v>8.8582677165354333</v>
      </c>
      <c r="AG48" s="44">
        <f>AD48*AE48*AF48/(12^3)</f>
        <v>1.1124120017268906</v>
      </c>
      <c r="AH48" s="39" t="s">
        <v>1863</v>
      </c>
      <c r="AI48" s="39" t="s">
        <v>1864</v>
      </c>
      <c r="AJ48" s="39" t="s">
        <v>1865</v>
      </c>
      <c r="AK48" t="s">
        <v>1868</v>
      </c>
      <c r="AL48" s="20" t="s">
        <v>1869</v>
      </c>
      <c r="AM48" s="42"/>
      <c r="AN48" s="42"/>
      <c r="AO48" s="42"/>
      <c r="AP48" s="39" t="s">
        <v>1870</v>
      </c>
      <c r="AQ48" s="97" t="s">
        <v>1838</v>
      </c>
      <c r="AR48" s="20"/>
    </row>
    <row r="49" spans="1:44" s="20" customFormat="1" x14ac:dyDescent="0.25">
      <c r="B49" s="372"/>
      <c r="C49" s="35"/>
      <c r="D49" s="35" t="s">
        <v>128</v>
      </c>
      <c r="E49" s="36"/>
      <c r="H49" s="50"/>
      <c r="I49" s="50"/>
      <c r="J49" s="50"/>
      <c r="K49" s="50"/>
      <c r="L49" s="38"/>
      <c r="M49" s="38"/>
      <c r="N49" s="7"/>
      <c r="O49" s="37"/>
      <c r="P49" s="228"/>
      <c r="Q49" s="35"/>
      <c r="R49" s="35"/>
      <c r="S49" s="35"/>
      <c r="T49" s="72"/>
      <c r="U49" s="46"/>
      <c r="V49" s="35"/>
      <c r="W49" s="35"/>
      <c r="X49" s="72"/>
      <c r="Y49" s="46"/>
      <c r="Z49" s="35"/>
      <c r="AA49" s="35"/>
      <c r="AB49" s="72"/>
      <c r="AC49" s="46"/>
      <c r="AD49" s="35"/>
      <c r="AE49" s="35"/>
      <c r="AF49" s="72"/>
      <c r="AG49" s="46"/>
      <c r="AH49" s="39"/>
      <c r="AI49" s="39"/>
      <c r="AJ49" s="39"/>
      <c r="AK49" s="39"/>
      <c r="AL49" s="42"/>
      <c r="AM49" s="42"/>
      <c r="AN49" s="42"/>
      <c r="AO49" s="42"/>
      <c r="AP49" s="39"/>
      <c r="AQ49" s="97"/>
    </row>
    <row r="50" spans="1:44" s="108" customFormat="1" ht="15.6" x14ac:dyDescent="0.3">
      <c r="A50" s="362" t="s">
        <v>1675</v>
      </c>
      <c r="B50" s="362"/>
      <c r="C50" s="362"/>
      <c r="D50" s="35" t="s">
        <v>128</v>
      </c>
      <c r="E50" s="234"/>
      <c r="H50" s="203"/>
      <c r="I50" s="203"/>
      <c r="J50" s="203"/>
      <c r="K50" s="203"/>
      <c r="L50" s="203"/>
      <c r="M50" s="203"/>
      <c r="N50" s="205"/>
      <c r="O50" s="206"/>
      <c r="P50" s="276"/>
      <c r="Q50" s="196"/>
      <c r="R50" s="196"/>
      <c r="S50" s="196"/>
      <c r="T50" s="197"/>
      <c r="U50" s="195"/>
      <c r="V50" s="196"/>
      <c r="W50" s="196"/>
      <c r="X50" s="197"/>
      <c r="Y50" s="195"/>
      <c r="Z50" s="196"/>
      <c r="AA50" s="196"/>
      <c r="AB50" s="197"/>
      <c r="AC50" s="195"/>
      <c r="AD50" s="196"/>
      <c r="AE50" s="196"/>
      <c r="AF50" s="197"/>
      <c r="AG50" s="195"/>
    </row>
    <row r="51" spans="1:44" s="16" customFormat="1" ht="13.8" x14ac:dyDescent="0.3">
      <c r="A51" s="16" t="s">
        <v>121</v>
      </c>
      <c r="B51" s="143"/>
      <c r="C51" s="35" t="s">
        <v>787</v>
      </c>
      <c r="D51" s="17" t="s">
        <v>788</v>
      </c>
      <c r="E51" s="18" t="s">
        <v>1383</v>
      </c>
      <c r="F51" s="16" t="s">
        <v>1723</v>
      </c>
      <c r="G51" s="16" t="s">
        <v>1518</v>
      </c>
      <c r="H51" s="29" t="s">
        <v>789</v>
      </c>
      <c r="I51" s="49" t="s">
        <v>66</v>
      </c>
      <c r="J51" s="38" t="s">
        <v>1719</v>
      </c>
      <c r="K51" s="38" t="s">
        <v>1720</v>
      </c>
      <c r="L51" s="29" t="s">
        <v>364</v>
      </c>
      <c r="M51" s="29" t="s">
        <v>327</v>
      </c>
      <c r="N51" s="6">
        <v>24.99</v>
      </c>
      <c r="O51" s="37">
        <v>1</v>
      </c>
      <c r="P51" s="228">
        <v>72</v>
      </c>
      <c r="Q51" s="35">
        <f>CONVERT(95,"g","lbm")</f>
        <v>0.20943914907563368</v>
      </c>
      <c r="R51" s="409" t="s">
        <v>66</v>
      </c>
      <c r="S51" s="409" t="s">
        <v>66</v>
      </c>
      <c r="T51" s="444" t="s">
        <v>66</v>
      </c>
      <c r="U51" s="46">
        <f>CONVERT(0.1452,"kg","lbm")</f>
        <v>0.32011120469244225</v>
      </c>
      <c r="V51" s="35">
        <f>CONVERT(130,"mm","in")</f>
        <v>5.1181102362204731</v>
      </c>
      <c r="W51" s="35">
        <f>CONVERT(36,"mm","in")</f>
        <v>1.4173228346456692</v>
      </c>
      <c r="X51" s="72">
        <f>CONVERT(161,"mm","in")</f>
        <v>6.3385826771653546</v>
      </c>
      <c r="Y51" s="46" t="s">
        <v>66</v>
      </c>
      <c r="Z51" s="35" t="s">
        <v>66</v>
      </c>
      <c r="AA51" s="35" t="s">
        <v>66</v>
      </c>
      <c r="AB51" s="72" t="s">
        <v>66</v>
      </c>
      <c r="AC51" s="46">
        <f>CONVERT(10.4,"kg","lbm")</f>
        <v>22.928075267227268</v>
      </c>
      <c r="AD51" s="35">
        <f>CONVERT(665,"mm","in")</f>
        <v>26.181102362204726</v>
      </c>
      <c r="AE51" s="35">
        <f>CONVERT(409,"mm","in")</f>
        <v>16.102362204724411</v>
      </c>
      <c r="AF51" s="72">
        <f>CONVERT(235,"mm","in")</f>
        <v>9.2519685039370074</v>
      </c>
      <c r="AG51" s="46">
        <f>AD51*AE51*AF51/(12^3)</f>
        <v>2.2571890126373577</v>
      </c>
      <c r="AH51" s="39" t="s">
        <v>1873</v>
      </c>
      <c r="AI51" s="65" t="s">
        <v>1859</v>
      </c>
      <c r="AJ51" s="39" t="s">
        <v>1860</v>
      </c>
      <c r="AK51" s="39" t="s">
        <v>1861</v>
      </c>
      <c r="AL51" s="65" t="s">
        <v>1862</v>
      </c>
      <c r="AM51" s="20"/>
      <c r="AN51" s="20"/>
      <c r="AO51" s="20"/>
      <c r="AP51" s="22" t="s">
        <v>1858</v>
      </c>
      <c r="AQ51" s="97" t="s">
        <v>1838</v>
      </c>
      <c r="AR51" s="20"/>
    </row>
    <row r="52" spans="1:44" s="16" customFormat="1" ht="13.8" x14ac:dyDescent="0.3">
      <c r="A52" s="16" t="s">
        <v>121</v>
      </c>
      <c r="B52" s="143"/>
      <c r="C52" s="35" t="s">
        <v>787</v>
      </c>
      <c r="D52" s="17" t="s">
        <v>811</v>
      </c>
      <c r="E52" s="18" t="s">
        <v>1383</v>
      </c>
      <c r="F52" s="16" t="s">
        <v>815</v>
      </c>
      <c r="G52" s="16" t="s">
        <v>1518</v>
      </c>
      <c r="H52" s="29" t="s">
        <v>790</v>
      </c>
      <c r="I52" s="49" t="s">
        <v>66</v>
      </c>
      <c r="J52" s="38" t="s">
        <v>1717</v>
      </c>
      <c r="K52" s="38" t="s">
        <v>1718</v>
      </c>
      <c r="L52" s="29" t="s">
        <v>364</v>
      </c>
      <c r="M52" s="29" t="s">
        <v>327</v>
      </c>
      <c r="N52" s="6">
        <v>24.99</v>
      </c>
      <c r="O52" s="37">
        <v>1</v>
      </c>
      <c r="P52" s="228">
        <v>72</v>
      </c>
      <c r="Q52" s="35">
        <f>CONVERT(95,"g","lbm")</f>
        <v>0.20943914907563368</v>
      </c>
      <c r="R52" s="409" t="s">
        <v>66</v>
      </c>
      <c r="S52" s="409" t="s">
        <v>66</v>
      </c>
      <c r="T52" s="444" t="s">
        <v>66</v>
      </c>
      <c r="U52" s="46">
        <f>CONVERT(0.1452,"kg","lbm")</f>
        <v>0.32011120469244225</v>
      </c>
      <c r="V52" s="35">
        <f>CONVERT(130,"mm","in")</f>
        <v>5.1181102362204731</v>
      </c>
      <c r="W52" s="35">
        <f>CONVERT(36,"mm","in")</f>
        <v>1.4173228346456692</v>
      </c>
      <c r="X52" s="72">
        <f>CONVERT(161,"mm","in")</f>
        <v>6.3385826771653546</v>
      </c>
      <c r="Y52" s="46" t="s">
        <v>66</v>
      </c>
      <c r="Z52" s="35" t="s">
        <v>66</v>
      </c>
      <c r="AA52" s="35" t="s">
        <v>66</v>
      </c>
      <c r="AB52" s="72" t="s">
        <v>66</v>
      </c>
      <c r="AC52" s="46">
        <f>CONVERT(10.4,"kg","lbm")</f>
        <v>22.928075267227268</v>
      </c>
      <c r="AD52" s="35">
        <f>CONVERT(665,"mm","in")</f>
        <v>26.181102362204726</v>
      </c>
      <c r="AE52" s="35">
        <f>CONVERT(409,"mm","in")</f>
        <v>16.102362204724411</v>
      </c>
      <c r="AF52" s="72">
        <f>CONVERT(235,"mm","in")</f>
        <v>9.2519685039370074</v>
      </c>
      <c r="AG52" s="46">
        <f>AD52*AE52*AF52/(12^3)</f>
        <v>2.2571890126373577</v>
      </c>
      <c r="AH52" s="39" t="s">
        <v>1873</v>
      </c>
      <c r="AI52" s="65" t="s">
        <v>1859</v>
      </c>
      <c r="AJ52" s="39" t="s">
        <v>1860</v>
      </c>
      <c r="AK52" s="39" t="s">
        <v>1861</v>
      </c>
      <c r="AL52" s="65" t="s">
        <v>1862</v>
      </c>
      <c r="AM52" s="20"/>
      <c r="AN52" s="20"/>
      <c r="AO52" s="20"/>
      <c r="AP52" s="22" t="s">
        <v>1858</v>
      </c>
      <c r="AQ52" s="97" t="s">
        <v>1838</v>
      </c>
      <c r="AR52" s="20"/>
    </row>
    <row r="53" spans="1:44" s="16" customFormat="1" ht="13.8" x14ac:dyDescent="0.3">
      <c r="A53" s="16" t="s">
        <v>121</v>
      </c>
      <c r="B53" s="143"/>
      <c r="C53" s="35" t="s">
        <v>787</v>
      </c>
      <c r="D53" s="17" t="s">
        <v>806</v>
      </c>
      <c r="E53" s="18" t="s">
        <v>1383</v>
      </c>
      <c r="F53" s="16" t="s">
        <v>791</v>
      </c>
      <c r="G53" s="16" t="s">
        <v>1518</v>
      </c>
      <c r="H53" s="29" t="s">
        <v>794</v>
      </c>
      <c r="I53" s="49" t="s">
        <v>66</v>
      </c>
      <c r="J53" s="38" t="s">
        <v>1715</v>
      </c>
      <c r="K53" s="38" t="s">
        <v>1716</v>
      </c>
      <c r="L53" s="29" t="s">
        <v>364</v>
      </c>
      <c r="M53" s="29" t="s">
        <v>327</v>
      </c>
      <c r="N53" s="6">
        <v>24.99</v>
      </c>
      <c r="O53" s="37">
        <v>1</v>
      </c>
      <c r="P53" s="228">
        <v>72</v>
      </c>
      <c r="Q53" s="35">
        <f>CONVERT(95,"g","lbm")</f>
        <v>0.20943914907563368</v>
      </c>
      <c r="R53" s="409" t="s">
        <v>66</v>
      </c>
      <c r="S53" s="409" t="s">
        <v>66</v>
      </c>
      <c r="T53" s="444" t="s">
        <v>66</v>
      </c>
      <c r="U53" s="46">
        <f>CONVERT(0.1452,"kg","lbm")</f>
        <v>0.32011120469244225</v>
      </c>
      <c r="V53" s="35">
        <f>CONVERT(130,"mm","in")</f>
        <v>5.1181102362204731</v>
      </c>
      <c r="W53" s="35">
        <f>CONVERT(36,"mm","in")</f>
        <v>1.4173228346456692</v>
      </c>
      <c r="X53" s="72">
        <f>CONVERT(161,"mm","in")</f>
        <v>6.3385826771653546</v>
      </c>
      <c r="Y53" s="46" t="s">
        <v>66</v>
      </c>
      <c r="Z53" s="35" t="s">
        <v>66</v>
      </c>
      <c r="AA53" s="35" t="s">
        <v>66</v>
      </c>
      <c r="AB53" s="72" t="s">
        <v>66</v>
      </c>
      <c r="AC53" s="46">
        <f>CONVERT(10.4,"kg","lbm")</f>
        <v>22.928075267227268</v>
      </c>
      <c r="AD53" s="35">
        <f>CONVERT(665,"mm","in")</f>
        <v>26.181102362204726</v>
      </c>
      <c r="AE53" s="35">
        <f>CONVERT(409,"mm","in")</f>
        <v>16.102362204724411</v>
      </c>
      <c r="AF53" s="72">
        <f>CONVERT(235,"mm","in")</f>
        <v>9.2519685039370074</v>
      </c>
      <c r="AG53" s="46">
        <f>AD53*AE53*AF53/(12^3)</f>
        <v>2.2571890126373577</v>
      </c>
      <c r="AH53" s="39" t="s">
        <v>1873</v>
      </c>
      <c r="AI53" s="65" t="s">
        <v>1859</v>
      </c>
      <c r="AJ53" s="39" t="s">
        <v>1860</v>
      </c>
      <c r="AK53" s="39" t="s">
        <v>1861</v>
      </c>
      <c r="AL53" s="65" t="s">
        <v>1862</v>
      </c>
      <c r="AM53" s="20"/>
      <c r="AN53" s="20"/>
      <c r="AO53" s="20"/>
      <c r="AP53" s="22" t="s">
        <v>1858</v>
      </c>
      <c r="AQ53" s="97" t="s">
        <v>1838</v>
      </c>
      <c r="AR53" s="20"/>
    </row>
    <row r="54" spans="1:44" s="16" customFormat="1" ht="13.8" x14ac:dyDescent="0.3">
      <c r="A54" s="16" t="s">
        <v>121</v>
      </c>
      <c r="B54" s="143"/>
      <c r="C54" s="35" t="s">
        <v>787</v>
      </c>
      <c r="D54" s="17" t="s">
        <v>786</v>
      </c>
      <c r="E54" s="18" t="s">
        <v>1383</v>
      </c>
      <c r="F54" s="16" t="s">
        <v>1722</v>
      </c>
      <c r="G54" s="16" t="s">
        <v>1518</v>
      </c>
      <c r="H54" s="49">
        <v>7331423008629</v>
      </c>
      <c r="I54" s="49" t="s">
        <v>66</v>
      </c>
      <c r="J54" s="38" t="s">
        <v>793</v>
      </c>
      <c r="K54" s="38" t="s">
        <v>1721</v>
      </c>
      <c r="L54" s="29" t="s">
        <v>364</v>
      </c>
      <c r="M54" s="29" t="s">
        <v>327</v>
      </c>
      <c r="N54" s="6">
        <v>24.99</v>
      </c>
      <c r="O54" s="37">
        <v>1</v>
      </c>
      <c r="P54" s="228">
        <v>72</v>
      </c>
      <c r="Q54" s="35">
        <f>CONVERT(95,"g","lbm")</f>
        <v>0.20943914907563368</v>
      </c>
      <c r="R54" s="409" t="s">
        <v>66</v>
      </c>
      <c r="S54" s="409" t="s">
        <v>66</v>
      </c>
      <c r="T54" s="444" t="s">
        <v>66</v>
      </c>
      <c r="U54" s="46">
        <f>CONVERT(0.1452,"kg","lbm")</f>
        <v>0.32011120469244225</v>
      </c>
      <c r="V54" s="35">
        <f>CONVERT(130,"mm","in")</f>
        <v>5.1181102362204731</v>
      </c>
      <c r="W54" s="35">
        <f>CONVERT(36,"mm","in")</f>
        <v>1.4173228346456692</v>
      </c>
      <c r="X54" s="72">
        <f>CONVERT(161,"mm","in")</f>
        <v>6.3385826771653546</v>
      </c>
      <c r="Y54" s="46" t="s">
        <v>66</v>
      </c>
      <c r="Z54" s="35" t="s">
        <v>66</v>
      </c>
      <c r="AA54" s="35" t="s">
        <v>66</v>
      </c>
      <c r="AB54" s="72" t="s">
        <v>66</v>
      </c>
      <c r="AC54" s="46">
        <f>CONVERT(10.4,"kg","lbm")</f>
        <v>22.928075267227268</v>
      </c>
      <c r="AD54" s="35">
        <f>CONVERT(665,"mm","in")</f>
        <v>26.181102362204726</v>
      </c>
      <c r="AE54" s="35">
        <f>CONVERT(409,"mm","in")</f>
        <v>16.102362204724411</v>
      </c>
      <c r="AF54" s="72">
        <f>CONVERT(235,"mm","in")</f>
        <v>9.2519685039370074</v>
      </c>
      <c r="AG54" s="46">
        <f>AD54*AE54*AF54/(12^3)</f>
        <v>2.2571890126373577</v>
      </c>
      <c r="AH54" s="39" t="s">
        <v>1873</v>
      </c>
      <c r="AI54" s="65" t="s">
        <v>1859</v>
      </c>
      <c r="AJ54" s="39" t="s">
        <v>1860</v>
      </c>
      <c r="AK54" s="39" t="s">
        <v>1861</v>
      </c>
      <c r="AL54" s="65" t="s">
        <v>1862</v>
      </c>
      <c r="AM54" s="20"/>
      <c r="AN54" s="20"/>
      <c r="AO54" s="20"/>
      <c r="AP54" s="22" t="s">
        <v>1858</v>
      </c>
      <c r="AQ54" s="97" t="s">
        <v>1838</v>
      </c>
      <c r="AR54" s="20"/>
    </row>
    <row r="55" spans="1:44" s="20" customFormat="1" x14ac:dyDescent="0.25">
      <c r="B55" s="141"/>
      <c r="C55" s="35"/>
      <c r="D55" s="35" t="s">
        <v>128</v>
      </c>
      <c r="E55" s="36"/>
      <c r="H55" s="38"/>
      <c r="I55" s="38"/>
      <c r="J55" s="38"/>
      <c r="K55" s="38"/>
      <c r="L55" s="38"/>
      <c r="M55" s="38"/>
      <c r="N55" s="7"/>
      <c r="O55" s="37"/>
      <c r="P55" s="228"/>
      <c r="Q55" s="35"/>
      <c r="R55" s="35"/>
      <c r="S55" s="35"/>
      <c r="T55" s="72"/>
      <c r="U55" s="46"/>
      <c r="V55" s="35"/>
      <c r="W55" s="35"/>
      <c r="X55" s="72"/>
      <c r="Y55" s="46"/>
      <c r="Z55" s="35"/>
      <c r="AA55" s="35"/>
      <c r="AB55" s="72"/>
      <c r="AC55" s="46"/>
      <c r="AD55" s="35"/>
      <c r="AE55" s="35"/>
      <c r="AF55" s="72"/>
      <c r="AG55" s="46"/>
      <c r="AH55" s="39"/>
      <c r="AI55" s="39"/>
      <c r="AJ55" s="39"/>
      <c r="AK55" s="39"/>
      <c r="AP55" s="39"/>
    </row>
    <row r="56" spans="1:44" s="108" customFormat="1" ht="15.6" x14ac:dyDescent="0.3">
      <c r="A56" s="362" t="s">
        <v>70</v>
      </c>
      <c r="B56" s="362"/>
      <c r="C56" s="362"/>
      <c r="D56" s="35" t="s">
        <v>128</v>
      </c>
      <c r="E56" s="234"/>
      <c r="H56" s="203"/>
      <c r="I56" s="203"/>
      <c r="J56" s="203"/>
      <c r="K56" s="203"/>
      <c r="L56" s="203"/>
      <c r="M56" s="203"/>
      <c r="N56" s="205"/>
      <c r="O56" s="206"/>
      <c r="P56" s="276"/>
      <c r="Q56" s="196"/>
      <c r="R56" s="196"/>
      <c r="S56" s="196"/>
      <c r="T56" s="197"/>
      <c r="U56" s="195"/>
      <c r="V56" s="196"/>
      <c r="W56" s="196"/>
      <c r="X56" s="197"/>
      <c r="Y56" s="195"/>
      <c r="Z56" s="196"/>
      <c r="AA56" s="196"/>
      <c r="AB56" s="197"/>
      <c r="AC56" s="195"/>
      <c r="AD56" s="196"/>
      <c r="AE56" s="196"/>
      <c r="AF56" s="197"/>
      <c r="AG56" s="195"/>
    </row>
    <row r="57" spans="1:44" s="20" customFormat="1" ht="13.8" x14ac:dyDescent="0.3">
      <c r="A57" s="20" t="s">
        <v>121</v>
      </c>
      <c r="B57" s="141"/>
      <c r="C57" s="35" t="s">
        <v>876</v>
      </c>
      <c r="D57" s="17" t="s">
        <v>824</v>
      </c>
      <c r="E57" s="18" t="s">
        <v>1398</v>
      </c>
      <c r="F57" s="20" t="s">
        <v>823</v>
      </c>
      <c r="G57" s="20" t="s">
        <v>1507</v>
      </c>
      <c r="H57" s="50">
        <v>7331423007981</v>
      </c>
      <c r="I57" s="50">
        <v>7331423100378</v>
      </c>
      <c r="J57" s="50">
        <v>7331423200603</v>
      </c>
      <c r="K57" s="50">
        <v>17331423200600</v>
      </c>
      <c r="L57" s="29" t="s">
        <v>364</v>
      </c>
      <c r="M57" s="29" t="s">
        <v>327</v>
      </c>
      <c r="N57" s="7">
        <v>9.99</v>
      </c>
      <c r="O57" s="37">
        <v>6</v>
      </c>
      <c r="P57" s="228">
        <v>72</v>
      </c>
      <c r="Q57" s="46">
        <f>CONVERT(18,"g","lbm")</f>
        <v>3.9683207193277961E-2</v>
      </c>
      <c r="R57" s="35">
        <v>1.9</v>
      </c>
      <c r="S57" s="35">
        <v>0.8</v>
      </c>
      <c r="T57" s="72">
        <v>3.9</v>
      </c>
      <c r="U57" s="46">
        <f>CONVERT(0.0529,"kg","lbm")</f>
        <v>0.11662453669580024</v>
      </c>
      <c r="V57" s="35">
        <f>CONVERT(102,"mm","in")</f>
        <v>4.015748031496063</v>
      </c>
      <c r="W57" s="35">
        <f>CONVERT(27,"mm","in")</f>
        <v>1.0629921259842521</v>
      </c>
      <c r="X57" s="72">
        <f>CONVERT(200,"mm","in")</f>
        <v>7.8740157480314963</v>
      </c>
      <c r="Y57" s="46">
        <f>CONVERT(0.368,"kg","lbm")</f>
        <v>0.81130112484034944</v>
      </c>
      <c r="Z57" s="35">
        <f>CONVERT(104,"mm","in")</f>
        <v>4.0944881889763778</v>
      </c>
      <c r="AA57" s="35">
        <f>CONVERT(117,"mm","in")</f>
        <v>4.6062992125984259</v>
      </c>
      <c r="AB57" s="72">
        <f>CONVERT(215,"mm","in")</f>
        <v>8.4645669291338574</v>
      </c>
      <c r="AC57" s="46">
        <f>CONVERT(4.774,"kg","lbm")</f>
        <v>10.524868396706054</v>
      </c>
      <c r="AD57" s="35">
        <f>CONVERT(355,"mm","in")</f>
        <v>13.976377952755906</v>
      </c>
      <c r="AE57" s="35">
        <f>CONVERT(222,"mm","in")</f>
        <v>8.7401574803149611</v>
      </c>
      <c r="AF57" s="72">
        <f>CONVERT(440,"mm","in")</f>
        <v>17.322834645669293</v>
      </c>
      <c r="AG57" s="44">
        <f>AD57*AE57*AF57/(12^3)</f>
        <v>1.2245855091010271</v>
      </c>
      <c r="AH57" s="39" t="s">
        <v>1696</v>
      </c>
      <c r="AI57" s="39" t="s">
        <v>877</v>
      </c>
      <c r="AJ57" s="39" t="s">
        <v>798</v>
      </c>
      <c r="AK57" s="39" t="s">
        <v>878</v>
      </c>
      <c r="AL57" s="39" t="s">
        <v>879</v>
      </c>
      <c r="AM57" s="39" t="s">
        <v>880</v>
      </c>
      <c r="AN57" s="39" t="s">
        <v>1872</v>
      </c>
      <c r="AO57" s="39"/>
      <c r="AP57" s="39" t="s">
        <v>1871</v>
      </c>
      <c r="AQ57" s="20" t="s">
        <v>1839</v>
      </c>
      <c r="AR57" s="97" t="s">
        <v>1838</v>
      </c>
    </row>
    <row r="58" spans="1:44" s="20" customFormat="1" ht="13.8" x14ac:dyDescent="0.3">
      <c r="A58" s="20" t="s">
        <v>121</v>
      </c>
      <c r="B58" s="141"/>
      <c r="C58" s="35" t="s">
        <v>876</v>
      </c>
      <c r="D58" s="17" t="s">
        <v>821</v>
      </c>
      <c r="E58" s="18" t="s">
        <v>1398</v>
      </c>
      <c r="F58" s="20" t="s">
        <v>819</v>
      </c>
      <c r="G58" s="20" t="s">
        <v>1507</v>
      </c>
      <c r="H58" s="50">
        <v>7331423007974</v>
      </c>
      <c r="I58" s="50">
        <v>7331423100361</v>
      </c>
      <c r="J58" s="50">
        <v>7331423200597</v>
      </c>
      <c r="K58" s="50">
        <v>17331423200594</v>
      </c>
      <c r="L58" s="29" t="s">
        <v>364</v>
      </c>
      <c r="M58" s="29" t="s">
        <v>327</v>
      </c>
      <c r="N58" s="7">
        <v>9.99</v>
      </c>
      <c r="O58" s="37">
        <v>6</v>
      </c>
      <c r="P58" s="228">
        <v>72</v>
      </c>
      <c r="Q58" s="46">
        <f>CONVERT(18,"g","lbm")</f>
        <v>3.9683207193277961E-2</v>
      </c>
      <c r="R58" s="35">
        <v>1.9</v>
      </c>
      <c r="S58" s="35">
        <v>0.8</v>
      </c>
      <c r="T58" s="72">
        <v>3.9</v>
      </c>
      <c r="U58" s="46">
        <f>CONVERT(0.0529,"kg","lbm")</f>
        <v>0.11662453669580024</v>
      </c>
      <c r="V58" s="35">
        <f>CONVERT(102,"mm","in")</f>
        <v>4.015748031496063</v>
      </c>
      <c r="W58" s="35">
        <f>CONVERT(27,"mm","in")</f>
        <v>1.0629921259842521</v>
      </c>
      <c r="X58" s="72">
        <f>CONVERT(200,"mm","in")</f>
        <v>7.8740157480314963</v>
      </c>
      <c r="Y58" s="46">
        <f>CONVERT(0.368,"kg","lbm")</f>
        <v>0.81130112484034944</v>
      </c>
      <c r="Z58" s="35">
        <f>CONVERT(104,"mm","in")</f>
        <v>4.0944881889763778</v>
      </c>
      <c r="AA58" s="35">
        <f>CONVERT(117,"mm","in")</f>
        <v>4.6062992125984259</v>
      </c>
      <c r="AB58" s="72">
        <f>CONVERT(215,"mm","in")</f>
        <v>8.4645669291338574</v>
      </c>
      <c r="AC58" s="46">
        <f>CONVERT(4.774,"kg","lbm")</f>
        <v>10.524868396706054</v>
      </c>
      <c r="AD58" s="35">
        <f>CONVERT(355,"mm","in")</f>
        <v>13.976377952755906</v>
      </c>
      <c r="AE58" s="35">
        <f>CONVERT(222,"mm","in")</f>
        <v>8.7401574803149611</v>
      </c>
      <c r="AF58" s="72">
        <f>CONVERT(440,"mm","in")</f>
        <v>17.322834645669293</v>
      </c>
      <c r="AG58" s="44">
        <f>AD58*AE58*AF58/(12^3)</f>
        <v>1.2245855091010271</v>
      </c>
      <c r="AH58" s="39" t="s">
        <v>1696</v>
      </c>
      <c r="AI58" s="39" t="s">
        <v>877</v>
      </c>
      <c r="AJ58" s="39" t="s">
        <v>798</v>
      </c>
      <c r="AK58" s="39" t="s">
        <v>878</v>
      </c>
      <c r="AL58" s="39" t="s">
        <v>879</v>
      </c>
      <c r="AM58" s="39" t="s">
        <v>880</v>
      </c>
      <c r="AN58" s="39" t="s">
        <v>1872</v>
      </c>
      <c r="AO58" s="39"/>
      <c r="AP58" s="39" t="s">
        <v>1871</v>
      </c>
      <c r="AQ58" s="20" t="s">
        <v>1839</v>
      </c>
      <c r="AR58" s="97" t="s">
        <v>1838</v>
      </c>
    </row>
    <row r="59" spans="1:44" s="20" customFormat="1" ht="13.8" x14ac:dyDescent="0.3">
      <c r="A59" s="20" t="s">
        <v>121</v>
      </c>
      <c r="B59" s="141"/>
      <c r="C59" s="35" t="s">
        <v>876</v>
      </c>
      <c r="D59" s="17" t="s">
        <v>820</v>
      </c>
      <c r="E59" s="18" t="s">
        <v>1398</v>
      </c>
      <c r="F59" s="20" t="s">
        <v>825</v>
      </c>
      <c r="G59" s="20" t="s">
        <v>1507</v>
      </c>
      <c r="H59" s="50">
        <v>7331423007998</v>
      </c>
      <c r="I59" s="50">
        <v>7331423100354</v>
      </c>
      <c r="J59" s="50">
        <v>7331423200580</v>
      </c>
      <c r="K59" s="50">
        <v>17331423200587</v>
      </c>
      <c r="L59" s="29" t="s">
        <v>364</v>
      </c>
      <c r="M59" s="29" t="s">
        <v>327</v>
      </c>
      <c r="N59" s="7">
        <v>9.99</v>
      </c>
      <c r="O59" s="37">
        <v>6</v>
      </c>
      <c r="P59" s="228">
        <v>72</v>
      </c>
      <c r="Q59" s="46">
        <f>CONVERT(18,"g","lbm")</f>
        <v>3.9683207193277961E-2</v>
      </c>
      <c r="R59" s="35">
        <v>1.9</v>
      </c>
      <c r="S59" s="35">
        <v>0.8</v>
      </c>
      <c r="T59" s="72">
        <v>3.9</v>
      </c>
      <c r="U59" s="46">
        <f>CONVERT(0.0529,"kg","lbm")</f>
        <v>0.11662453669580024</v>
      </c>
      <c r="V59" s="35">
        <f>CONVERT(102,"mm","in")</f>
        <v>4.015748031496063</v>
      </c>
      <c r="W59" s="35">
        <f>CONVERT(27,"mm","in")</f>
        <v>1.0629921259842521</v>
      </c>
      <c r="X59" s="72">
        <f>CONVERT(200,"mm","in")</f>
        <v>7.8740157480314963</v>
      </c>
      <c r="Y59" s="46">
        <f>CONVERT(0.368,"kg","lbm")</f>
        <v>0.81130112484034944</v>
      </c>
      <c r="Z59" s="35">
        <f>CONVERT(104,"mm","in")</f>
        <v>4.0944881889763778</v>
      </c>
      <c r="AA59" s="35">
        <f>CONVERT(117,"mm","in")</f>
        <v>4.6062992125984259</v>
      </c>
      <c r="AB59" s="72">
        <f>CONVERT(215,"mm","in")</f>
        <v>8.4645669291338574</v>
      </c>
      <c r="AC59" s="46">
        <f>CONVERT(4.774,"kg","lbm")</f>
        <v>10.524868396706054</v>
      </c>
      <c r="AD59" s="35">
        <f>CONVERT(355,"mm","in")</f>
        <v>13.976377952755906</v>
      </c>
      <c r="AE59" s="35">
        <f>CONVERT(222,"mm","in")</f>
        <v>8.7401574803149611</v>
      </c>
      <c r="AF59" s="72">
        <f>CONVERT(440,"mm","in")</f>
        <v>17.322834645669293</v>
      </c>
      <c r="AG59" s="44">
        <f>AD59*AE59*AF59/(12^3)</f>
        <v>1.2245855091010271</v>
      </c>
      <c r="AH59" s="39" t="s">
        <v>1696</v>
      </c>
      <c r="AI59" s="39" t="s">
        <v>877</v>
      </c>
      <c r="AJ59" s="39" t="s">
        <v>798</v>
      </c>
      <c r="AK59" s="39" t="s">
        <v>878</v>
      </c>
      <c r="AL59" s="39" t="s">
        <v>879</v>
      </c>
      <c r="AM59" s="39" t="s">
        <v>880</v>
      </c>
      <c r="AN59" s="39" t="s">
        <v>1872</v>
      </c>
      <c r="AO59" s="39"/>
      <c r="AP59" s="39" t="s">
        <v>1871</v>
      </c>
      <c r="AQ59" s="20" t="s">
        <v>1839</v>
      </c>
      <c r="AR59" s="97" t="s">
        <v>1838</v>
      </c>
    </row>
    <row r="60" spans="1:44" s="20" customFormat="1" ht="13.8" x14ac:dyDescent="0.3">
      <c r="A60" s="20" t="s">
        <v>121</v>
      </c>
      <c r="B60" s="141"/>
      <c r="C60" s="35" t="s">
        <v>876</v>
      </c>
      <c r="D60" s="17" t="s">
        <v>786</v>
      </c>
      <c r="E60" s="18" t="s">
        <v>1398</v>
      </c>
      <c r="F60" s="20" t="s">
        <v>1724</v>
      </c>
      <c r="G60" s="20" t="s">
        <v>1507</v>
      </c>
      <c r="H60" s="406">
        <v>7331423008001</v>
      </c>
      <c r="I60" s="50">
        <v>7331423008001</v>
      </c>
      <c r="J60" s="50">
        <v>7331423200627</v>
      </c>
      <c r="K60" s="50">
        <v>17331423200624</v>
      </c>
      <c r="L60" s="29" t="s">
        <v>364</v>
      </c>
      <c r="M60" s="29" t="s">
        <v>327</v>
      </c>
      <c r="N60" s="7">
        <v>9.99</v>
      </c>
      <c r="O60" s="37">
        <v>6</v>
      </c>
      <c r="P60" s="228">
        <v>72</v>
      </c>
      <c r="Q60" s="46">
        <f>CONVERT(18,"g","lbm")</f>
        <v>3.9683207193277961E-2</v>
      </c>
      <c r="R60" s="35">
        <v>1.9</v>
      </c>
      <c r="S60" s="35">
        <v>0.8</v>
      </c>
      <c r="T60" s="72">
        <v>3.9</v>
      </c>
      <c r="U60" s="46">
        <f>CONVERT(0.0529,"kg","lbm")</f>
        <v>0.11662453669580024</v>
      </c>
      <c r="V60" s="35">
        <f>CONVERT(102,"mm","in")</f>
        <v>4.015748031496063</v>
      </c>
      <c r="W60" s="35">
        <f>CONVERT(27,"mm","in")</f>
        <v>1.0629921259842521</v>
      </c>
      <c r="X60" s="72">
        <f>CONVERT(200,"mm","in")</f>
        <v>7.8740157480314963</v>
      </c>
      <c r="Y60" s="46">
        <f>CONVERT(0.368,"kg","lbm")</f>
        <v>0.81130112484034944</v>
      </c>
      <c r="Z60" s="35">
        <f>CONVERT(104,"mm","in")</f>
        <v>4.0944881889763778</v>
      </c>
      <c r="AA60" s="35">
        <f>CONVERT(117,"mm","in")</f>
        <v>4.6062992125984259</v>
      </c>
      <c r="AB60" s="72">
        <f>CONVERT(215,"mm","in")</f>
        <v>8.4645669291338574</v>
      </c>
      <c r="AC60" s="46">
        <f>CONVERT(4.774,"kg","lbm")</f>
        <v>10.524868396706054</v>
      </c>
      <c r="AD60" s="35">
        <f>CONVERT(355,"mm","in")</f>
        <v>13.976377952755906</v>
      </c>
      <c r="AE60" s="35">
        <f>CONVERT(222,"mm","in")</f>
        <v>8.7401574803149611</v>
      </c>
      <c r="AF60" s="72">
        <f>CONVERT(440,"mm","in")</f>
        <v>17.322834645669293</v>
      </c>
      <c r="AG60" s="44">
        <f>AD60*AE60*AF60/(12^3)</f>
        <v>1.2245855091010271</v>
      </c>
      <c r="AH60" s="39" t="s">
        <v>1696</v>
      </c>
      <c r="AI60" s="39" t="s">
        <v>877</v>
      </c>
      <c r="AJ60" s="39" t="s">
        <v>798</v>
      </c>
      <c r="AK60" s="39" t="s">
        <v>878</v>
      </c>
      <c r="AL60" s="39" t="s">
        <v>879</v>
      </c>
      <c r="AM60" s="39" t="s">
        <v>880</v>
      </c>
      <c r="AN60" s="39" t="s">
        <v>1872</v>
      </c>
      <c r="AO60" s="39"/>
      <c r="AP60" s="39" t="s">
        <v>1871</v>
      </c>
      <c r="AQ60" s="20" t="s">
        <v>1839</v>
      </c>
      <c r="AR60" s="97" t="s">
        <v>1838</v>
      </c>
    </row>
    <row r="61" spans="1:44" s="20" customFormat="1" x14ac:dyDescent="0.25">
      <c r="B61" s="141"/>
      <c r="C61" s="35"/>
      <c r="D61" s="35" t="s">
        <v>128</v>
      </c>
      <c r="E61" s="36"/>
      <c r="H61" s="50"/>
      <c r="I61" s="50"/>
      <c r="J61" s="50"/>
      <c r="K61" s="50"/>
      <c r="L61" s="38"/>
      <c r="M61" s="38"/>
      <c r="N61" s="7"/>
      <c r="O61" s="37"/>
      <c r="P61" s="228"/>
      <c r="Q61" s="35"/>
      <c r="R61" s="35"/>
      <c r="S61" s="35"/>
      <c r="T61" s="72"/>
      <c r="U61" s="46"/>
      <c r="V61" s="35"/>
      <c r="W61" s="35"/>
      <c r="X61" s="72"/>
      <c r="Y61" s="46"/>
      <c r="Z61" s="102"/>
      <c r="AA61" s="102"/>
      <c r="AB61" s="103"/>
      <c r="AC61" s="46"/>
      <c r="AD61" s="35"/>
      <c r="AE61" s="35"/>
      <c r="AF61" s="72"/>
      <c r="AG61" s="46"/>
      <c r="AI61" s="39"/>
      <c r="AJ61" s="39"/>
      <c r="AK61" s="39"/>
      <c r="AL61" s="39"/>
      <c r="AM61" s="39"/>
      <c r="AN61" s="39"/>
      <c r="AO61" s="39"/>
      <c r="AP61" s="39"/>
      <c r="AQ61" s="97"/>
    </row>
    <row r="62" spans="1:44" s="108" customFormat="1" ht="15.6" x14ac:dyDescent="0.3">
      <c r="A62" s="399" t="s">
        <v>629</v>
      </c>
      <c r="B62" s="399"/>
      <c r="C62" s="399"/>
      <c r="D62" s="35" t="s">
        <v>128</v>
      </c>
      <c r="E62" s="234"/>
      <c r="H62" s="244"/>
      <c r="I62" s="244"/>
      <c r="J62" s="244"/>
      <c r="K62" s="244"/>
      <c r="L62" s="203"/>
      <c r="M62" s="203"/>
      <c r="N62" s="205"/>
      <c r="O62" s="206"/>
      <c r="P62" s="276"/>
      <c r="Q62" s="196"/>
      <c r="R62" s="196"/>
      <c r="S62" s="196"/>
      <c r="T62" s="197"/>
      <c r="U62" s="46"/>
      <c r="V62" s="35"/>
      <c r="W62" s="35"/>
      <c r="X62" s="72"/>
      <c r="Y62" s="195"/>
      <c r="Z62" s="196"/>
      <c r="AA62" s="196"/>
      <c r="AB62" s="197"/>
      <c r="AC62" s="195"/>
      <c r="AD62" s="196"/>
      <c r="AE62" s="196"/>
      <c r="AF62" s="197"/>
      <c r="AG62" s="195"/>
    </row>
    <row r="63" spans="1:44" s="16" customFormat="1" ht="13.8" x14ac:dyDescent="0.3">
      <c r="A63" s="16" t="s">
        <v>121</v>
      </c>
      <c r="B63" s="143"/>
      <c r="C63" s="35" t="s">
        <v>392</v>
      </c>
      <c r="D63" s="17" t="s">
        <v>128</v>
      </c>
      <c r="E63" s="18" t="s">
        <v>795</v>
      </c>
      <c r="F63" s="17"/>
      <c r="G63" s="16" t="s">
        <v>1518</v>
      </c>
      <c r="H63" s="34">
        <v>7331423007967</v>
      </c>
      <c r="I63" s="50">
        <v>7331423100408</v>
      </c>
      <c r="J63" s="50">
        <v>7331423200634</v>
      </c>
      <c r="K63" s="50">
        <v>17331423200631</v>
      </c>
      <c r="L63" s="29" t="s">
        <v>364</v>
      </c>
      <c r="M63" s="29" t="s">
        <v>325</v>
      </c>
      <c r="N63" s="6">
        <v>22.99</v>
      </c>
      <c r="O63" s="37">
        <v>6</v>
      </c>
      <c r="P63" s="228">
        <v>36</v>
      </c>
      <c r="Q63" s="46">
        <f>CONVERT(106,"g","lbm")</f>
        <v>0.23368999791597023</v>
      </c>
      <c r="R63" s="35">
        <v>10.25</v>
      </c>
      <c r="S63" s="35">
        <v>6.25</v>
      </c>
      <c r="T63" s="72">
        <v>0.75</v>
      </c>
      <c r="U63" s="46">
        <f>CONVERT(0.1342,"kg","lbm")</f>
        <v>0.29586035585210568</v>
      </c>
      <c r="V63" s="35">
        <f>CONVERT(156,"mm","in")</f>
        <v>6.1417322834645667</v>
      </c>
      <c r="W63" s="35">
        <f>CONVERT(25,"mm","in")</f>
        <v>0.98425196850393704</v>
      </c>
      <c r="X63" s="72">
        <f>CONVERT(165,"mm","in")</f>
        <v>6.4960629921259843</v>
      </c>
      <c r="Y63" s="46">
        <f>CONVERT(0.9191,"kg","lbm")</f>
        <v>2.0262686517412098</v>
      </c>
      <c r="Z63" s="35">
        <f>CONVERT(330,"mm","in")</f>
        <v>12.992125984251969</v>
      </c>
      <c r="AA63" s="35">
        <f>CONVERT(85,"mm","in")</f>
        <v>3.3464566929133857</v>
      </c>
      <c r="AB63" s="72">
        <f>CONVERT(185,"mm","in")</f>
        <v>7.2834645669291342</v>
      </c>
      <c r="AC63" s="46">
        <f>CONVERT(6.124,"kg","lbm")</f>
        <v>13.501108936201902</v>
      </c>
      <c r="AD63" s="35">
        <f>CONVERT(355,"mm","in")</f>
        <v>13.976377952755906</v>
      </c>
      <c r="AE63" s="35">
        <f>CONVERT(390,"mm","in")</f>
        <v>15.354330708661417</v>
      </c>
      <c r="AF63" s="72">
        <f>CONVERT(277,"mm","in")</f>
        <v>10.905511811023622</v>
      </c>
      <c r="AG63" s="44">
        <f>AD63*AE63*AF63/(12^3)</f>
        <v>1.3543404233024563</v>
      </c>
      <c r="AH63" s="39" t="s">
        <v>796</v>
      </c>
      <c r="AI63" s="39" t="s">
        <v>1874</v>
      </c>
      <c r="AJ63" s="39" t="s">
        <v>797</v>
      </c>
      <c r="AK63" s="39" t="s">
        <v>798</v>
      </c>
      <c r="AL63" s="20" t="s">
        <v>1875</v>
      </c>
      <c r="AM63" s="39"/>
      <c r="AN63" s="39"/>
      <c r="AO63" s="39"/>
      <c r="AP63" s="39" t="s">
        <v>1876</v>
      </c>
      <c r="AQ63" s="97" t="s">
        <v>1838</v>
      </c>
      <c r="AR63" s="20"/>
    </row>
    <row r="64" spans="1:44" s="20" customFormat="1" x14ac:dyDescent="0.25">
      <c r="B64" s="141"/>
      <c r="C64" s="35"/>
      <c r="D64" s="35" t="s">
        <v>128</v>
      </c>
      <c r="E64" s="36"/>
      <c r="F64" s="35"/>
      <c r="G64" s="35"/>
      <c r="H64" s="50"/>
      <c r="I64" s="50"/>
      <c r="J64" s="50"/>
      <c r="K64" s="50"/>
      <c r="L64" s="38"/>
      <c r="M64" s="38"/>
      <c r="N64" s="7"/>
      <c r="O64" s="37"/>
      <c r="P64" s="228"/>
      <c r="Q64" s="35"/>
      <c r="R64" s="35"/>
      <c r="S64" s="35"/>
      <c r="T64" s="72"/>
      <c r="U64" s="46"/>
      <c r="V64" s="35"/>
      <c r="W64" s="35"/>
      <c r="X64" s="72"/>
      <c r="Y64" s="46"/>
      <c r="Z64" s="35"/>
      <c r="AA64" s="35"/>
      <c r="AB64" s="72"/>
      <c r="AC64" s="46"/>
      <c r="AD64" s="35"/>
      <c r="AE64" s="35"/>
      <c r="AF64" s="72"/>
      <c r="AG64" s="46"/>
      <c r="AH64" s="39"/>
      <c r="AI64" s="39"/>
      <c r="AJ64" s="39"/>
      <c r="AK64" s="39"/>
      <c r="AL64" s="39"/>
      <c r="AM64" s="39"/>
      <c r="AN64" s="39"/>
      <c r="AO64" s="39"/>
      <c r="AP64" s="39"/>
      <c r="AQ64" s="65"/>
    </row>
    <row r="65" spans="1:44" s="108" customFormat="1" ht="15.6" x14ac:dyDescent="0.3">
      <c r="A65" s="108" t="s">
        <v>117</v>
      </c>
      <c r="B65" s="370"/>
      <c r="C65" s="194" t="s">
        <v>128</v>
      </c>
      <c r="D65" s="35" t="s">
        <v>128</v>
      </c>
      <c r="E65" s="194"/>
      <c r="H65" s="203"/>
      <c r="I65" s="203"/>
      <c r="J65" s="203"/>
      <c r="K65" s="203"/>
      <c r="L65" s="204"/>
      <c r="M65" s="204"/>
      <c r="N65" s="205"/>
      <c r="O65" s="206"/>
      <c r="P65" s="276"/>
      <c r="Q65" s="196"/>
      <c r="R65" s="196"/>
      <c r="S65" s="196"/>
      <c r="T65" s="197"/>
      <c r="U65" s="207"/>
      <c r="V65" s="208"/>
      <c r="W65" s="208"/>
      <c r="X65" s="209"/>
      <c r="Y65" s="207"/>
      <c r="Z65" s="208"/>
      <c r="AA65" s="208"/>
      <c r="AB65" s="209"/>
      <c r="AC65" s="195"/>
      <c r="AD65" s="196"/>
      <c r="AE65" s="196"/>
      <c r="AF65" s="197"/>
      <c r="AG65" s="195"/>
      <c r="AH65" s="198"/>
      <c r="AI65" s="198"/>
      <c r="AJ65" s="198"/>
      <c r="AK65" s="198"/>
      <c r="AP65" s="239"/>
      <c r="AR65" s="210"/>
    </row>
    <row r="66" spans="1:44" s="213" customFormat="1" x14ac:dyDescent="0.25">
      <c r="A66" s="213" t="s">
        <v>1096</v>
      </c>
      <c r="B66" s="369"/>
      <c r="C66" s="190"/>
      <c r="D66" s="35" t="s">
        <v>128</v>
      </c>
      <c r="E66" s="190"/>
      <c r="H66" s="211"/>
      <c r="I66" s="211"/>
      <c r="J66" s="211"/>
      <c r="K66" s="211"/>
      <c r="L66" s="214"/>
      <c r="M66" s="214"/>
      <c r="N66" s="215"/>
      <c r="O66" s="216"/>
      <c r="P66" s="275"/>
      <c r="Q66" s="192"/>
      <c r="R66" s="192"/>
      <c r="S66" s="192"/>
      <c r="T66" s="193"/>
      <c r="U66" s="46"/>
      <c r="V66" s="35"/>
      <c r="W66" s="35"/>
      <c r="X66" s="72"/>
      <c r="Y66" s="46"/>
      <c r="Z66" s="35"/>
      <c r="AA66" s="35"/>
      <c r="AB66" s="72"/>
      <c r="AC66" s="46"/>
      <c r="AD66" s="35"/>
      <c r="AE66" s="35"/>
      <c r="AF66" s="72"/>
      <c r="AG66" s="191"/>
      <c r="AH66" s="202"/>
      <c r="AI66" s="202"/>
      <c r="AJ66" s="202"/>
      <c r="AK66" s="202"/>
      <c r="AP66" s="240"/>
      <c r="AR66" s="220"/>
    </row>
    <row r="67" spans="1:44" s="16" customFormat="1" ht="13.8" x14ac:dyDescent="0.3">
      <c r="A67" s="20" t="s">
        <v>121</v>
      </c>
      <c r="B67" s="141"/>
      <c r="C67" s="35" t="s">
        <v>151</v>
      </c>
      <c r="D67" s="35"/>
      <c r="E67" s="36" t="s">
        <v>1391</v>
      </c>
      <c r="F67" s="20" t="s">
        <v>415</v>
      </c>
      <c r="G67" s="20" t="s">
        <v>1518</v>
      </c>
      <c r="H67" s="80">
        <v>7331423001668</v>
      </c>
      <c r="I67" s="80">
        <v>7331423101061</v>
      </c>
      <c r="J67" s="80">
        <v>7331423201297</v>
      </c>
      <c r="K67" s="80">
        <v>17331423201294</v>
      </c>
      <c r="L67" s="38" t="s">
        <v>1725</v>
      </c>
      <c r="M67" s="38" t="s">
        <v>325</v>
      </c>
      <c r="N67" s="7">
        <v>14.99</v>
      </c>
      <c r="O67" s="37">
        <v>6</v>
      </c>
      <c r="P67" s="228">
        <v>72</v>
      </c>
      <c r="Q67" s="46">
        <v>7.0000000000000007E-2</v>
      </c>
      <c r="R67" s="35">
        <v>2.5</v>
      </c>
      <c r="S67" s="35">
        <v>1</v>
      </c>
      <c r="T67" s="72">
        <v>7.625</v>
      </c>
      <c r="U67" s="46">
        <f>CONVERT(40,"g","lbm")</f>
        <v>8.8184904873951031E-2</v>
      </c>
      <c r="V67" s="35">
        <v>3.125</v>
      </c>
      <c r="W67" s="35">
        <v>0.875</v>
      </c>
      <c r="X67" s="72">
        <v>10</v>
      </c>
      <c r="Y67" s="46">
        <f>CONVERT(13.5,"ozm","lbm")</f>
        <v>0.84375</v>
      </c>
      <c r="Z67" s="35">
        <v>10.25</v>
      </c>
      <c r="AA67" s="35">
        <v>9.5</v>
      </c>
      <c r="AB67" s="72">
        <v>1.875</v>
      </c>
      <c r="AC67" s="46">
        <f>CONVERT(5.6,"kg","lbm")</f>
        <v>12.345886682353143</v>
      </c>
      <c r="AD67" s="35">
        <v>12.25</v>
      </c>
      <c r="AE67" s="35">
        <v>20</v>
      </c>
      <c r="AF67" s="72">
        <v>12</v>
      </c>
      <c r="AG67" s="46">
        <f t="shared" ref="AG67:AG111" si="43">AD67*AE67*AF67/(12^3)</f>
        <v>1.7013888888888888</v>
      </c>
      <c r="AH67" s="14" t="s">
        <v>1</v>
      </c>
      <c r="AI67" s="283" t="s">
        <v>1877</v>
      </c>
      <c r="AJ67" s="283" t="s">
        <v>1878</v>
      </c>
      <c r="AK67" s="14" t="s">
        <v>1879</v>
      </c>
      <c r="AL67" s="283" t="s">
        <v>1880</v>
      </c>
      <c r="AM67" s="283" t="s">
        <v>1881</v>
      </c>
      <c r="AN67" s="283" t="s">
        <v>680</v>
      </c>
      <c r="AO67" s="14" t="s">
        <v>1882</v>
      </c>
      <c r="AP67" s="14" t="s">
        <v>1883</v>
      </c>
      <c r="AQ67" s="97" t="s">
        <v>1838</v>
      </c>
      <c r="AR67" s="20"/>
    </row>
    <row r="68" spans="1:44" s="20" customFormat="1" ht="13.8" x14ac:dyDescent="0.3">
      <c r="A68" s="20" t="s">
        <v>121</v>
      </c>
      <c r="B68" s="141"/>
      <c r="C68" s="21" t="s">
        <v>86</v>
      </c>
      <c r="D68" s="35" t="s">
        <v>371</v>
      </c>
      <c r="E68" s="40" t="s">
        <v>1726</v>
      </c>
      <c r="F68" s="20" t="s">
        <v>1727</v>
      </c>
      <c r="G68" s="20" t="s">
        <v>1507</v>
      </c>
      <c r="H68" s="49">
        <v>7331423005994</v>
      </c>
      <c r="I68" s="49">
        <v>7331423005994</v>
      </c>
      <c r="J68" s="49">
        <v>7331423201242</v>
      </c>
      <c r="K68" s="49">
        <v>17331423201898</v>
      </c>
      <c r="L68" s="38" t="s">
        <v>148</v>
      </c>
      <c r="M68" s="38" t="s">
        <v>327</v>
      </c>
      <c r="N68" s="7">
        <v>9.99</v>
      </c>
      <c r="O68" s="37">
        <v>12</v>
      </c>
      <c r="P68" s="228">
        <v>72</v>
      </c>
      <c r="Q68" s="101">
        <f>CONVERT(36,"g","lbm")</f>
        <v>7.9366414386555922E-2</v>
      </c>
      <c r="R68" s="35">
        <f t="shared" ref="R68:R111" si="44">CONVERT(17,"cm","in")</f>
        <v>6.6929133858267722</v>
      </c>
      <c r="S68" s="102">
        <v>1.5</v>
      </c>
      <c r="T68" s="103">
        <v>1.25</v>
      </c>
      <c r="U68" s="46">
        <f t="shared" ref="U68:U73" si="45">CONVERT(0.054,"kg","lbm")</f>
        <v>0.11904962157983388</v>
      </c>
      <c r="V68" s="35">
        <f t="shared" ref="V68:V73" si="46">CONVERT(65,"mm","in")</f>
        <v>2.5590551181102366</v>
      </c>
      <c r="W68" s="35">
        <f t="shared" ref="W68:W73" si="47">CONVERT(29,"mm","in")</f>
        <v>1.1417322834645671</v>
      </c>
      <c r="X68" s="72">
        <f t="shared" ref="X68:X73" si="48">CONVERT(240,"mm","in")</f>
        <v>9.4488188976377945</v>
      </c>
      <c r="Y68" s="46">
        <f t="shared" ref="Y68:Y73" si="49">CONVERT(0.7168,"kg","lbm")</f>
        <v>1.5802734953412023</v>
      </c>
      <c r="Z68" s="35">
        <f t="shared" ref="Z68:Z73" si="50">CONVERT(145,"mm","in")</f>
        <v>5.7086614173228343</v>
      </c>
      <c r="AA68" s="35">
        <f t="shared" ref="AA68:AA73" si="51">CONVERT(116,"mm","in")</f>
        <v>4.5669291338582685</v>
      </c>
      <c r="AB68" s="72">
        <f t="shared" ref="AB68:AB73" si="52">CONVERT(246,"mm","in")</f>
        <v>9.6850393700787407</v>
      </c>
      <c r="AC68" s="46">
        <f t="shared" ref="AC68:AC73" si="53">CONVERT(4.634,"kg","lbm")</f>
        <v>10.216221229647228</v>
      </c>
      <c r="AD68" s="35">
        <f t="shared" ref="AD68:AD73" si="54">CONVERT(360,"mm","in")</f>
        <v>14.173228346456694</v>
      </c>
      <c r="AE68" s="35">
        <f t="shared" ref="AE68:AE73" si="55">CONVERT(305,"mm","in")</f>
        <v>12.007874015748031</v>
      </c>
      <c r="AF68" s="72">
        <f t="shared" ref="AF68:AF73" si="56">CONVERT(260,"mm","in")</f>
        <v>10.236220472440946</v>
      </c>
      <c r="AG68" s="46">
        <f t="shared" si="43"/>
        <v>1.0081631055650564</v>
      </c>
      <c r="AH68" s="39" t="s">
        <v>1884</v>
      </c>
      <c r="AI68" s="39" t="s">
        <v>1887</v>
      </c>
      <c r="AJ68" s="39" t="s">
        <v>875</v>
      </c>
      <c r="AK68" s="39" t="s">
        <v>1888</v>
      </c>
      <c r="AL68" s="39" t="s">
        <v>1889</v>
      </c>
      <c r="AM68" s="39" t="s">
        <v>680</v>
      </c>
      <c r="AN68" s="39" t="s">
        <v>1890</v>
      </c>
      <c r="AO68" s="39" t="s">
        <v>1891</v>
      </c>
      <c r="AP68" s="39" t="s">
        <v>109</v>
      </c>
      <c r="AQ68" s="20" t="s">
        <v>1839</v>
      </c>
      <c r="AR68" s="97" t="s">
        <v>1838</v>
      </c>
    </row>
    <row r="69" spans="1:44" s="20" customFormat="1" ht="13.8" x14ac:dyDescent="0.3">
      <c r="A69" s="20" t="s">
        <v>121</v>
      </c>
      <c r="B69" s="141"/>
      <c r="C69" s="21" t="s">
        <v>86</v>
      </c>
      <c r="D69" s="17" t="s">
        <v>786</v>
      </c>
      <c r="E69" s="64" t="s">
        <v>1728</v>
      </c>
      <c r="F69" s="20" t="s">
        <v>1700</v>
      </c>
      <c r="G69" s="20" t="s">
        <v>1507</v>
      </c>
      <c r="H69" s="124" t="s">
        <v>867</v>
      </c>
      <c r="I69" s="408">
        <v>7331423101290</v>
      </c>
      <c r="J69" s="408">
        <v>7331423201525</v>
      </c>
      <c r="K69" s="408">
        <v>17331423201522</v>
      </c>
      <c r="L69" s="38" t="s">
        <v>148</v>
      </c>
      <c r="M69" s="29" t="s">
        <v>327</v>
      </c>
      <c r="N69" s="7">
        <v>9.99</v>
      </c>
      <c r="O69" s="37">
        <v>12</v>
      </c>
      <c r="P69" s="228">
        <v>72</v>
      </c>
      <c r="Q69" s="101">
        <f t="shared" ref="Q69:Q74" si="57">CONVERT(36,"g","lbm")</f>
        <v>7.9366414386555922E-2</v>
      </c>
      <c r="R69" s="35">
        <f t="shared" si="44"/>
        <v>6.6929133858267722</v>
      </c>
      <c r="S69" s="102">
        <v>1.5</v>
      </c>
      <c r="T69" s="103">
        <v>1.25</v>
      </c>
      <c r="U69" s="46">
        <f t="shared" si="45"/>
        <v>0.11904962157983388</v>
      </c>
      <c r="V69" s="35">
        <f t="shared" si="46"/>
        <v>2.5590551181102366</v>
      </c>
      <c r="W69" s="35">
        <f t="shared" si="47"/>
        <v>1.1417322834645671</v>
      </c>
      <c r="X69" s="72">
        <f t="shared" si="48"/>
        <v>9.4488188976377945</v>
      </c>
      <c r="Y69" s="46">
        <f t="shared" si="49"/>
        <v>1.5802734953412023</v>
      </c>
      <c r="Z69" s="35">
        <f t="shared" si="50"/>
        <v>5.7086614173228343</v>
      </c>
      <c r="AA69" s="35">
        <f t="shared" si="51"/>
        <v>4.5669291338582685</v>
      </c>
      <c r="AB69" s="72">
        <f t="shared" si="52"/>
        <v>9.6850393700787407</v>
      </c>
      <c r="AC69" s="46">
        <f t="shared" si="53"/>
        <v>10.216221229647228</v>
      </c>
      <c r="AD69" s="35">
        <f t="shared" si="54"/>
        <v>14.173228346456694</v>
      </c>
      <c r="AE69" s="35">
        <f t="shared" si="55"/>
        <v>12.007874015748031</v>
      </c>
      <c r="AF69" s="72">
        <f t="shared" si="56"/>
        <v>10.236220472440946</v>
      </c>
      <c r="AG69" s="44">
        <f t="shared" si="43"/>
        <v>1.0081631055650564</v>
      </c>
      <c r="AH69" s="39" t="s">
        <v>1884</v>
      </c>
      <c r="AI69" s="39" t="s">
        <v>1887</v>
      </c>
      <c r="AJ69" s="39" t="s">
        <v>875</v>
      </c>
      <c r="AK69" s="39" t="s">
        <v>1888</v>
      </c>
      <c r="AL69" s="39" t="s">
        <v>1889</v>
      </c>
      <c r="AM69" s="39" t="s">
        <v>680</v>
      </c>
      <c r="AN69" s="39" t="s">
        <v>1890</v>
      </c>
      <c r="AO69" s="39" t="s">
        <v>1891</v>
      </c>
      <c r="AP69" s="39" t="s">
        <v>109</v>
      </c>
      <c r="AQ69" s="20" t="s">
        <v>1839</v>
      </c>
      <c r="AR69" s="97" t="s">
        <v>1838</v>
      </c>
    </row>
    <row r="70" spans="1:44" s="20" customFormat="1" ht="13.8" x14ac:dyDescent="0.3">
      <c r="A70" s="20" t="s">
        <v>121</v>
      </c>
      <c r="B70" s="141"/>
      <c r="C70" s="21" t="s">
        <v>86</v>
      </c>
      <c r="D70" s="17" t="s">
        <v>1729</v>
      </c>
      <c r="E70" s="64" t="s">
        <v>1728</v>
      </c>
      <c r="F70" s="20" t="s">
        <v>1736</v>
      </c>
      <c r="G70" s="20" t="s">
        <v>1507</v>
      </c>
      <c r="H70" s="124" t="s">
        <v>868</v>
      </c>
      <c r="I70" s="408">
        <v>7331423101306</v>
      </c>
      <c r="J70" s="408">
        <v>7331423201532</v>
      </c>
      <c r="K70" s="408">
        <v>17331423201539</v>
      </c>
      <c r="L70" s="38" t="s">
        <v>148</v>
      </c>
      <c r="M70" s="29" t="s">
        <v>327</v>
      </c>
      <c r="N70" s="7">
        <v>9.99</v>
      </c>
      <c r="O70" s="37">
        <v>12</v>
      </c>
      <c r="P70" s="228">
        <v>72</v>
      </c>
      <c r="Q70" s="101">
        <f t="shared" si="57"/>
        <v>7.9366414386555922E-2</v>
      </c>
      <c r="R70" s="35">
        <f t="shared" si="44"/>
        <v>6.6929133858267722</v>
      </c>
      <c r="S70" s="102">
        <v>1.5</v>
      </c>
      <c r="T70" s="103">
        <v>1.25</v>
      </c>
      <c r="U70" s="46">
        <f t="shared" si="45"/>
        <v>0.11904962157983388</v>
      </c>
      <c r="V70" s="35">
        <f t="shared" si="46"/>
        <v>2.5590551181102366</v>
      </c>
      <c r="W70" s="35">
        <f t="shared" si="47"/>
        <v>1.1417322834645671</v>
      </c>
      <c r="X70" s="72">
        <f t="shared" si="48"/>
        <v>9.4488188976377945</v>
      </c>
      <c r="Y70" s="46">
        <f t="shared" si="49"/>
        <v>1.5802734953412023</v>
      </c>
      <c r="Z70" s="35">
        <f t="shared" si="50"/>
        <v>5.7086614173228343</v>
      </c>
      <c r="AA70" s="35">
        <f t="shared" si="51"/>
        <v>4.5669291338582685</v>
      </c>
      <c r="AB70" s="72">
        <f t="shared" si="52"/>
        <v>9.6850393700787407</v>
      </c>
      <c r="AC70" s="46">
        <f t="shared" si="53"/>
        <v>10.216221229647228</v>
      </c>
      <c r="AD70" s="35">
        <f t="shared" si="54"/>
        <v>14.173228346456694</v>
      </c>
      <c r="AE70" s="35">
        <f t="shared" si="55"/>
        <v>12.007874015748031</v>
      </c>
      <c r="AF70" s="72">
        <f t="shared" si="56"/>
        <v>10.236220472440946</v>
      </c>
      <c r="AG70" s="44">
        <f t="shared" si="43"/>
        <v>1.0081631055650564</v>
      </c>
      <c r="AH70" s="39" t="s">
        <v>1884</v>
      </c>
      <c r="AI70" s="39" t="s">
        <v>1887</v>
      </c>
      <c r="AJ70" s="39" t="s">
        <v>875</v>
      </c>
      <c r="AK70" s="39" t="s">
        <v>1888</v>
      </c>
      <c r="AL70" s="39" t="s">
        <v>1889</v>
      </c>
      <c r="AM70" s="39" t="s">
        <v>680</v>
      </c>
      <c r="AN70" s="39" t="s">
        <v>1890</v>
      </c>
      <c r="AO70" s="39" t="s">
        <v>1891</v>
      </c>
      <c r="AP70" s="39" t="s">
        <v>109</v>
      </c>
      <c r="AQ70" s="20" t="s">
        <v>1839</v>
      </c>
      <c r="AR70" s="97" t="s">
        <v>1838</v>
      </c>
    </row>
    <row r="71" spans="1:44" s="20" customFormat="1" ht="13.8" x14ac:dyDescent="0.3">
      <c r="A71" s="20" t="s">
        <v>121</v>
      </c>
      <c r="B71" s="141"/>
      <c r="C71" s="21" t="s">
        <v>86</v>
      </c>
      <c r="D71" s="17" t="s">
        <v>1734</v>
      </c>
      <c r="E71" s="64" t="s">
        <v>1728</v>
      </c>
      <c r="F71" s="20" t="s">
        <v>1735</v>
      </c>
      <c r="G71" s="20" t="s">
        <v>1507</v>
      </c>
      <c r="H71" s="124" t="s">
        <v>869</v>
      </c>
      <c r="I71" s="408">
        <v>7331423101313</v>
      </c>
      <c r="J71" s="408">
        <v>7331423201549</v>
      </c>
      <c r="K71" s="407">
        <v>17331423201546</v>
      </c>
      <c r="L71" s="38" t="s">
        <v>148</v>
      </c>
      <c r="M71" s="29" t="s">
        <v>327</v>
      </c>
      <c r="N71" s="7">
        <v>9.99</v>
      </c>
      <c r="O71" s="37">
        <v>12</v>
      </c>
      <c r="P71" s="228">
        <v>72</v>
      </c>
      <c r="Q71" s="101">
        <f t="shared" si="57"/>
        <v>7.9366414386555922E-2</v>
      </c>
      <c r="R71" s="35">
        <f t="shared" si="44"/>
        <v>6.6929133858267722</v>
      </c>
      <c r="S71" s="102">
        <v>1.5</v>
      </c>
      <c r="T71" s="103">
        <v>1.25</v>
      </c>
      <c r="U71" s="46">
        <f t="shared" si="45"/>
        <v>0.11904962157983388</v>
      </c>
      <c r="V71" s="35">
        <f t="shared" si="46"/>
        <v>2.5590551181102366</v>
      </c>
      <c r="W71" s="35">
        <f t="shared" si="47"/>
        <v>1.1417322834645671</v>
      </c>
      <c r="X71" s="72">
        <f t="shared" si="48"/>
        <v>9.4488188976377945</v>
      </c>
      <c r="Y71" s="46">
        <f t="shared" si="49"/>
        <v>1.5802734953412023</v>
      </c>
      <c r="Z71" s="35">
        <f t="shared" si="50"/>
        <v>5.7086614173228343</v>
      </c>
      <c r="AA71" s="35">
        <f t="shared" si="51"/>
        <v>4.5669291338582685</v>
      </c>
      <c r="AB71" s="72">
        <f t="shared" si="52"/>
        <v>9.6850393700787407</v>
      </c>
      <c r="AC71" s="46">
        <f t="shared" si="53"/>
        <v>10.216221229647228</v>
      </c>
      <c r="AD71" s="35">
        <f t="shared" si="54"/>
        <v>14.173228346456694</v>
      </c>
      <c r="AE71" s="35">
        <f t="shared" si="55"/>
        <v>12.007874015748031</v>
      </c>
      <c r="AF71" s="72">
        <f t="shared" si="56"/>
        <v>10.236220472440946</v>
      </c>
      <c r="AG71" s="44">
        <f t="shared" si="43"/>
        <v>1.0081631055650564</v>
      </c>
      <c r="AH71" s="39" t="s">
        <v>1884</v>
      </c>
      <c r="AI71" s="39" t="s">
        <v>1887</v>
      </c>
      <c r="AJ71" s="39" t="s">
        <v>875</v>
      </c>
      <c r="AK71" s="39" t="s">
        <v>1888</v>
      </c>
      <c r="AL71" s="39" t="s">
        <v>1889</v>
      </c>
      <c r="AM71" s="39" t="s">
        <v>680</v>
      </c>
      <c r="AN71" s="39" t="s">
        <v>1890</v>
      </c>
      <c r="AO71" s="39" t="s">
        <v>1891</v>
      </c>
      <c r="AP71" s="39" t="s">
        <v>109</v>
      </c>
      <c r="AQ71" s="20" t="s">
        <v>1839</v>
      </c>
      <c r="AR71" s="97" t="s">
        <v>1838</v>
      </c>
    </row>
    <row r="72" spans="1:44" s="20" customFormat="1" ht="13.8" x14ac:dyDescent="0.3">
      <c r="A72" s="20" t="s">
        <v>121</v>
      </c>
      <c r="B72" s="141"/>
      <c r="C72" s="21" t="s">
        <v>86</v>
      </c>
      <c r="D72" s="17" t="s">
        <v>1737</v>
      </c>
      <c r="E72" s="64" t="s">
        <v>1728</v>
      </c>
      <c r="F72" s="20" t="s">
        <v>1738</v>
      </c>
      <c r="G72" s="20" t="s">
        <v>1507</v>
      </c>
      <c r="H72" s="124" t="s">
        <v>870</v>
      </c>
      <c r="I72" s="408">
        <v>7331423101320</v>
      </c>
      <c r="J72" s="408">
        <v>7331423201556</v>
      </c>
      <c r="K72" s="408">
        <v>17331423201553</v>
      </c>
      <c r="L72" s="38" t="s">
        <v>148</v>
      </c>
      <c r="M72" s="29" t="s">
        <v>327</v>
      </c>
      <c r="N72" s="7">
        <v>9.99</v>
      </c>
      <c r="O72" s="37">
        <v>12</v>
      </c>
      <c r="P72" s="228">
        <v>72</v>
      </c>
      <c r="Q72" s="101">
        <f t="shared" si="57"/>
        <v>7.9366414386555922E-2</v>
      </c>
      <c r="R72" s="35">
        <f t="shared" si="44"/>
        <v>6.6929133858267722</v>
      </c>
      <c r="S72" s="102">
        <v>1.5</v>
      </c>
      <c r="T72" s="103">
        <v>1.25</v>
      </c>
      <c r="U72" s="46">
        <f t="shared" si="45"/>
        <v>0.11904962157983388</v>
      </c>
      <c r="V72" s="35">
        <f t="shared" si="46"/>
        <v>2.5590551181102366</v>
      </c>
      <c r="W72" s="35">
        <f t="shared" si="47"/>
        <v>1.1417322834645671</v>
      </c>
      <c r="X72" s="72">
        <f t="shared" si="48"/>
        <v>9.4488188976377945</v>
      </c>
      <c r="Y72" s="46">
        <f t="shared" si="49"/>
        <v>1.5802734953412023</v>
      </c>
      <c r="Z72" s="35">
        <f t="shared" si="50"/>
        <v>5.7086614173228343</v>
      </c>
      <c r="AA72" s="35">
        <f t="shared" si="51"/>
        <v>4.5669291338582685</v>
      </c>
      <c r="AB72" s="72">
        <f t="shared" si="52"/>
        <v>9.6850393700787407</v>
      </c>
      <c r="AC72" s="46">
        <f t="shared" si="53"/>
        <v>10.216221229647228</v>
      </c>
      <c r="AD72" s="35">
        <f t="shared" si="54"/>
        <v>14.173228346456694</v>
      </c>
      <c r="AE72" s="35">
        <f t="shared" si="55"/>
        <v>12.007874015748031</v>
      </c>
      <c r="AF72" s="72">
        <f t="shared" si="56"/>
        <v>10.236220472440946</v>
      </c>
      <c r="AG72" s="44">
        <f t="shared" si="43"/>
        <v>1.0081631055650564</v>
      </c>
      <c r="AH72" s="39" t="s">
        <v>1884</v>
      </c>
      <c r="AI72" s="39" t="s">
        <v>1887</v>
      </c>
      <c r="AJ72" s="39" t="s">
        <v>875</v>
      </c>
      <c r="AK72" s="39" t="s">
        <v>1888</v>
      </c>
      <c r="AL72" s="39" t="s">
        <v>1889</v>
      </c>
      <c r="AM72" s="39" t="s">
        <v>680</v>
      </c>
      <c r="AN72" s="39" t="s">
        <v>1890</v>
      </c>
      <c r="AO72" s="39" t="s">
        <v>1891</v>
      </c>
      <c r="AP72" s="39" t="s">
        <v>109</v>
      </c>
      <c r="AQ72" s="20" t="s">
        <v>1839</v>
      </c>
      <c r="AR72" s="97" t="s">
        <v>1838</v>
      </c>
    </row>
    <row r="73" spans="1:44" s="20" customFormat="1" ht="13.8" x14ac:dyDescent="0.3">
      <c r="A73" s="20" t="s">
        <v>121</v>
      </c>
      <c r="B73" s="141"/>
      <c r="C73" s="21" t="s">
        <v>86</v>
      </c>
      <c r="D73" s="17" t="s">
        <v>1739</v>
      </c>
      <c r="E73" s="64" t="s">
        <v>1474</v>
      </c>
      <c r="F73" s="20" t="s">
        <v>1740</v>
      </c>
      <c r="G73" s="20" t="s">
        <v>1507</v>
      </c>
      <c r="H73" s="124" t="s">
        <v>871</v>
      </c>
      <c r="I73" s="430">
        <v>7331423008407</v>
      </c>
      <c r="J73" s="430">
        <v>7331423202300</v>
      </c>
      <c r="K73" s="408">
        <v>17331423201560</v>
      </c>
      <c r="L73" s="38" t="s">
        <v>148</v>
      </c>
      <c r="M73" s="29" t="s">
        <v>327</v>
      </c>
      <c r="N73" s="7">
        <v>9.99</v>
      </c>
      <c r="O73" s="37">
        <v>12</v>
      </c>
      <c r="P73" s="228">
        <v>72</v>
      </c>
      <c r="Q73" s="101">
        <f t="shared" si="57"/>
        <v>7.9366414386555922E-2</v>
      </c>
      <c r="R73" s="35">
        <f t="shared" si="44"/>
        <v>6.6929133858267722</v>
      </c>
      <c r="S73" s="102">
        <v>1.5</v>
      </c>
      <c r="T73" s="103">
        <v>1.25</v>
      </c>
      <c r="U73" s="46">
        <f t="shared" si="45"/>
        <v>0.11904962157983388</v>
      </c>
      <c r="V73" s="35">
        <f t="shared" si="46"/>
        <v>2.5590551181102366</v>
      </c>
      <c r="W73" s="35">
        <f t="shared" si="47"/>
        <v>1.1417322834645671</v>
      </c>
      <c r="X73" s="72">
        <f t="shared" si="48"/>
        <v>9.4488188976377945</v>
      </c>
      <c r="Y73" s="46">
        <f t="shared" si="49"/>
        <v>1.5802734953412023</v>
      </c>
      <c r="Z73" s="35">
        <f t="shared" si="50"/>
        <v>5.7086614173228343</v>
      </c>
      <c r="AA73" s="35">
        <f t="shared" si="51"/>
        <v>4.5669291338582685</v>
      </c>
      <c r="AB73" s="72">
        <f t="shared" si="52"/>
        <v>9.6850393700787407</v>
      </c>
      <c r="AC73" s="46">
        <f t="shared" si="53"/>
        <v>10.216221229647228</v>
      </c>
      <c r="AD73" s="35">
        <f t="shared" si="54"/>
        <v>14.173228346456694</v>
      </c>
      <c r="AE73" s="35">
        <f t="shared" si="55"/>
        <v>12.007874015748031</v>
      </c>
      <c r="AF73" s="72">
        <f t="shared" si="56"/>
        <v>10.236220472440946</v>
      </c>
      <c r="AG73" s="44">
        <f t="shared" si="43"/>
        <v>1.0081631055650564</v>
      </c>
      <c r="AH73" s="39" t="s">
        <v>1884</v>
      </c>
      <c r="AI73" s="39" t="s">
        <v>1887</v>
      </c>
      <c r="AJ73" s="39" t="s">
        <v>875</v>
      </c>
      <c r="AK73" s="39" t="s">
        <v>1888</v>
      </c>
      <c r="AL73" s="39" t="s">
        <v>1889</v>
      </c>
      <c r="AM73" s="39" t="s">
        <v>680</v>
      </c>
      <c r="AN73" s="39" t="s">
        <v>1890</v>
      </c>
      <c r="AO73" s="39" t="s">
        <v>1891</v>
      </c>
      <c r="AP73" s="39" t="s">
        <v>109</v>
      </c>
      <c r="AQ73" s="20" t="s">
        <v>1839</v>
      </c>
      <c r="AR73" s="97" t="s">
        <v>1838</v>
      </c>
    </row>
    <row r="74" spans="1:44" s="20" customFormat="1" ht="13.8" x14ac:dyDescent="0.3">
      <c r="A74" s="20" t="s">
        <v>121</v>
      </c>
      <c r="B74" s="39"/>
      <c r="C74" s="21" t="s">
        <v>86</v>
      </c>
      <c r="D74" s="35" t="s">
        <v>1819</v>
      </c>
      <c r="E74" s="64" t="s">
        <v>1728</v>
      </c>
      <c r="F74" s="35" t="s">
        <v>1811</v>
      </c>
      <c r="G74" s="20" t="s">
        <v>1507</v>
      </c>
      <c r="H74" s="401">
        <v>7331423010073</v>
      </c>
      <c r="I74" s="401">
        <v>7331423101672</v>
      </c>
      <c r="J74" s="401">
        <v>7331423202379</v>
      </c>
      <c r="K74" s="401">
        <v>17331423202451</v>
      </c>
      <c r="L74" s="38" t="s">
        <v>148</v>
      </c>
      <c r="M74" s="29" t="s">
        <v>327</v>
      </c>
      <c r="N74" s="7">
        <v>9.99</v>
      </c>
      <c r="O74" s="137">
        <v>12</v>
      </c>
      <c r="P74" s="229">
        <v>72</v>
      </c>
      <c r="Q74" s="101">
        <f t="shared" si="57"/>
        <v>7.9366414386555922E-2</v>
      </c>
      <c r="R74" s="35">
        <f t="shared" si="44"/>
        <v>6.6929133858267722</v>
      </c>
      <c r="S74" s="102">
        <v>1.5</v>
      </c>
      <c r="T74" s="103">
        <v>1.25</v>
      </c>
      <c r="U74" s="46">
        <f>CONVERT(0.054,"kg","lbm")</f>
        <v>0.11904962157983388</v>
      </c>
      <c r="V74" s="35">
        <f>CONVERT(65,"mm","in")</f>
        <v>2.5590551181102366</v>
      </c>
      <c r="W74" s="35">
        <f>CONVERT(29,"mm","in")</f>
        <v>1.1417322834645671</v>
      </c>
      <c r="X74" s="72">
        <f>CONVERT(240,"mm","in")</f>
        <v>9.4488188976377945</v>
      </c>
      <c r="Y74" s="46">
        <f>CONVERT(0.7168,"kg","lbm")</f>
        <v>1.5802734953412023</v>
      </c>
      <c r="Z74" s="35">
        <f>CONVERT(145,"mm","in")</f>
        <v>5.7086614173228343</v>
      </c>
      <c r="AA74" s="35">
        <f>CONVERT(116,"mm","in")</f>
        <v>4.5669291338582685</v>
      </c>
      <c r="AB74" s="72">
        <f>CONVERT(246,"mm","in")</f>
        <v>9.6850393700787407</v>
      </c>
      <c r="AC74" s="46">
        <f>CONVERT(4.634,"kg","lbm")</f>
        <v>10.216221229647228</v>
      </c>
      <c r="AD74" s="35">
        <f>CONVERT(360,"mm","in")</f>
        <v>14.173228346456694</v>
      </c>
      <c r="AE74" s="35">
        <f>CONVERT(305,"mm","in")</f>
        <v>12.007874015748031</v>
      </c>
      <c r="AF74" s="72">
        <f>CONVERT(260,"mm","in")</f>
        <v>10.236220472440946</v>
      </c>
      <c r="AG74" s="44">
        <f t="shared" si="43"/>
        <v>1.0081631055650564</v>
      </c>
      <c r="AH74" s="39" t="s">
        <v>1884</v>
      </c>
      <c r="AI74" s="39" t="s">
        <v>1887</v>
      </c>
      <c r="AJ74" s="39" t="s">
        <v>875</v>
      </c>
      <c r="AK74" s="39" t="s">
        <v>1888</v>
      </c>
      <c r="AL74" s="39" t="s">
        <v>1889</v>
      </c>
      <c r="AM74" s="39" t="s">
        <v>680</v>
      </c>
      <c r="AN74" s="39" t="s">
        <v>1890</v>
      </c>
      <c r="AO74" s="39" t="s">
        <v>1891</v>
      </c>
      <c r="AP74" s="39" t="s">
        <v>109</v>
      </c>
      <c r="AQ74" s="20" t="s">
        <v>1839</v>
      </c>
      <c r="AR74" s="97" t="s">
        <v>1838</v>
      </c>
    </row>
    <row r="75" spans="1:44" s="16" customFormat="1" ht="13.8" x14ac:dyDescent="0.3">
      <c r="A75" s="16" t="s">
        <v>121</v>
      </c>
      <c r="B75" s="141"/>
      <c r="C75" s="35" t="s">
        <v>890</v>
      </c>
      <c r="D75" s="17" t="s">
        <v>58</v>
      </c>
      <c r="E75" s="18" t="s">
        <v>1392</v>
      </c>
      <c r="F75" s="17" t="s">
        <v>113</v>
      </c>
      <c r="G75" s="20" t="s">
        <v>1507</v>
      </c>
      <c r="H75" s="68">
        <v>7331423009312</v>
      </c>
      <c r="I75" s="68">
        <v>7331423009312</v>
      </c>
      <c r="J75" s="68">
        <v>7331423200344</v>
      </c>
      <c r="K75" s="68">
        <v>17331423201614</v>
      </c>
      <c r="L75" s="38" t="s">
        <v>148</v>
      </c>
      <c r="M75" s="29" t="s">
        <v>327</v>
      </c>
      <c r="N75" s="6">
        <v>5.99</v>
      </c>
      <c r="O75" s="37">
        <v>12</v>
      </c>
      <c r="P75" s="228">
        <v>72</v>
      </c>
      <c r="Q75" s="101">
        <f t="shared" ref="Q75:Q82" si="58">CONVERT(18,"g","lbm")</f>
        <v>3.9683207193277961E-2</v>
      </c>
      <c r="R75" s="35">
        <f t="shared" si="44"/>
        <v>6.6929133858267722</v>
      </c>
      <c r="S75" s="102">
        <v>1.5</v>
      </c>
      <c r="T75" s="103">
        <v>1</v>
      </c>
      <c r="U75" s="101">
        <v>0.1</v>
      </c>
      <c r="V75" s="35">
        <v>2.5625</v>
      </c>
      <c r="W75" s="35">
        <v>1</v>
      </c>
      <c r="X75" s="72">
        <v>9.5</v>
      </c>
      <c r="Y75" s="101">
        <v>1.05</v>
      </c>
      <c r="Z75" s="102">
        <v>5.8125</v>
      </c>
      <c r="AA75" s="102">
        <v>4.125</v>
      </c>
      <c r="AB75" s="103">
        <v>9.75</v>
      </c>
      <c r="AC75" s="46">
        <v>7</v>
      </c>
      <c r="AD75" s="35">
        <v>14.375</v>
      </c>
      <c r="AE75" s="35">
        <v>12</v>
      </c>
      <c r="AF75" s="72">
        <v>10.5</v>
      </c>
      <c r="AG75" s="44">
        <f t="shared" si="43"/>
        <v>1.0481770833333333</v>
      </c>
      <c r="AH75" s="39" t="s">
        <v>1885</v>
      </c>
      <c r="AI75" s="39" t="s">
        <v>1887</v>
      </c>
      <c r="AJ75" s="39" t="s">
        <v>875</v>
      </c>
      <c r="AK75" s="39" t="s">
        <v>1888</v>
      </c>
      <c r="AL75" s="39" t="s">
        <v>1889</v>
      </c>
      <c r="AM75" s="39" t="s">
        <v>680</v>
      </c>
      <c r="AN75" s="39" t="s">
        <v>1890</v>
      </c>
      <c r="AO75" s="39" t="s">
        <v>1891</v>
      </c>
      <c r="AP75" s="39" t="s">
        <v>109</v>
      </c>
      <c r="AQ75" s="20" t="s">
        <v>1839</v>
      </c>
      <c r="AR75" s="97" t="s">
        <v>1838</v>
      </c>
    </row>
    <row r="76" spans="1:44" s="16" customFormat="1" ht="13.8" x14ac:dyDescent="0.3">
      <c r="A76" s="16" t="s">
        <v>121</v>
      </c>
      <c r="B76" s="141"/>
      <c r="C76" s="35" t="s">
        <v>890</v>
      </c>
      <c r="D76" s="17" t="s">
        <v>1741</v>
      </c>
      <c r="E76" s="18" t="s">
        <v>1392</v>
      </c>
      <c r="F76" s="17" t="s">
        <v>885</v>
      </c>
      <c r="G76" s="20" t="s">
        <v>1507</v>
      </c>
      <c r="H76" s="79">
        <v>7331423009244</v>
      </c>
      <c r="I76" s="80">
        <v>7331423101559</v>
      </c>
      <c r="J76" s="80">
        <v>7331423201839</v>
      </c>
      <c r="K76" s="80">
        <v>17331423201836</v>
      </c>
      <c r="L76" s="38" t="s">
        <v>148</v>
      </c>
      <c r="M76" s="29" t="s">
        <v>327</v>
      </c>
      <c r="N76" s="6">
        <v>5.99</v>
      </c>
      <c r="O76" s="37">
        <v>12</v>
      </c>
      <c r="P76" s="228">
        <v>72</v>
      </c>
      <c r="Q76" s="101">
        <f t="shared" si="58"/>
        <v>3.9683207193277961E-2</v>
      </c>
      <c r="R76" s="35">
        <f t="shared" si="44"/>
        <v>6.6929133858267722</v>
      </c>
      <c r="S76" s="102">
        <v>1.5</v>
      </c>
      <c r="T76" s="103">
        <v>1</v>
      </c>
      <c r="U76" s="101">
        <v>0.1</v>
      </c>
      <c r="V76" s="35">
        <v>2.5625</v>
      </c>
      <c r="W76" s="35">
        <v>1</v>
      </c>
      <c r="X76" s="72">
        <v>9.5</v>
      </c>
      <c r="Y76" s="101">
        <v>1.05</v>
      </c>
      <c r="Z76" s="102">
        <v>5.8125</v>
      </c>
      <c r="AA76" s="102">
        <v>4.125</v>
      </c>
      <c r="AB76" s="103">
        <v>9.75</v>
      </c>
      <c r="AC76" s="46">
        <v>7</v>
      </c>
      <c r="AD76" s="35">
        <v>14.375</v>
      </c>
      <c r="AE76" s="35">
        <v>12</v>
      </c>
      <c r="AF76" s="72">
        <v>10.5</v>
      </c>
      <c r="AG76" s="44">
        <f t="shared" si="43"/>
        <v>1.0481770833333333</v>
      </c>
      <c r="AH76" s="39" t="s">
        <v>1885</v>
      </c>
      <c r="AI76" s="39" t="s">
        <v>1887</v>
      </c>
      <c r="AJ76" s="39" t="s">
        <v>875</v>
      </c>
      <c r="AK76" s="39" t="s">
        <v>1888</v>
      </c>
      <c r="AL76" s="39" t="s">
        <v>1889</v>
      </c>
      <c r="AM76" s="39" t="s">
        <v>680</v>
      </c>
      <c r="AN76" s="39" t="s">
        <v>1890</v>
      </c>
      <c r="AO76" s="39" t="s">
        <v>1891</v>
      </c>
      <c r="AP76" s="39" t="s">
        <v>109</v>
      </c>
      <c r="AQ76" s="20" t="s">
        <v>1839</v>
      </c>
      <c r="AR76" s="97" t="s">
        <v>1838</v>
      </c>
    </row>
    <row r="77" spans="1:44" s="16" customFormat="1" ht="13.8" x14ac:dyDescent="0.3">
      <c r="A77" s="16" t="s">
        <v>121</v>
      </c>
      <c r="B77" s="141"/>
      <c r="C77" s="35" t="s">
        <v>890</v>
      </c>
      <c r="D77" s="17" t="s">
        <v>1742</v>
      </c>
      <c r="E77" s="18" t="s">
        <v>1392</v>
      </c>
      <c r="F77" s="17" t="s">
        <v>886</v>
      </c>
      <c r="G77" s="20" t="s">
        <v>1507</v>
      </c>
      <c r="H77" s="79">
        <v>7331423009275</v>
      </c>
      <c r="I77" s="80">
        <v>7331423101580</v>
      </c>
      <c r="J77" s="80">
        <v>7331423201860</v>
      </c>
      <c r="K77" s="80">
        <v>17331423201867</v>
      </c>
      <c r="L77" s="38" t="s">
        <v>148</v>
      </c>
      <c r="M77" s="29" t="s">
        <v>327</v>
      </c>
      <c r="N77" s="6">
        <v>5.99</v>
      </c>
      <c r="O77" s="37">
        <v>12</v>
      </c>
      <c r="P77" s="228">
        <v>72</v>
      </c>
      <c r="Q77" s="101">
        <f t="shared" si="58"/>
        <v>3.9683207193277961E-2</v>
      </c>
      <c r="R77" s="35">
        <f t="shared" si="44"/>
        <v>6.6929133858267722</v>
      </c>
      <c r="S77" s="102">
        <v>1.5</v>
      </c>
      <c r="T77" s="103">
        <v>1</v>
      </c>
      <c r="U77" s="101">
        <v>0.1</v>
      </c>
      <c r="V77" s="35">
        <v>2.5625</v>
      </c>
      <c r="W77" s="35">
        <v>1</v>
      </c>
      <c r="X77" s="72">
        <v>9.5</v>
      </c>
      <c r="Y77" s="101">
        <v>1.05</v>
      </c>
      <c r="Z77" s="102">
        <v>5.8125</v>
      </c>
      <c r="AA77" s="102">
        <v>4.125</v>
      </c>
      <c r="AB77" s="103">
        <v>9.75</v>
      </c>
      <c r="AC77" s="46">
        <v>7</v>
      </c>
      <c r="AD77" s="35">
        <v>14.375</v>
      </c>
      <c r="AE77" s="35">
        <v>12</v>
      </c>
      <c r="AF77" s="72">
        <v>10.5</v>
      </c>
      <c r="AG77" s="44">
        <f t="shared" si="43"/>
        <v>1.0481770833333333</v>
      </c>
      <c r="AH77" s="39" t="s">
        <v>1885</v>
      </c>
      <c r="AI77" s="39" t="s">
        <v>1887</v>
      </c>
      <c r="AJ77" s="39" t="s">
        <v>875</v>
      </c>
      <c r="AK77" s="39" t="s">
        <v>1888</v>
      </c>
      <c r="AL77" s="39" t="s">
        <v>1889</v>
      </c>
      <c r="AM77" s="39" t="s">
        <v>680</v>
      </c>
      <c r="AN77" s="39" t="s">
        <v>1890</v>
      </c>
      <c r="AO77" s="39" t="s">
        <v>1891</v>
      </c>
      <c r="AP77" s="39" t="s">
        <v>109</v>
      </c>
      <c r="AQ77" s="20" t="s">
        <v>1839</v>
      </c>
      <c r="AR77" s="97" t="s">
        <v>1838</v>
      </c>
    </row>
    <row r="78" spans="1:44" s="16" customFormat="1" ht="13.8" x14ac:dyDescent="0.3">
      <c r="A78" s="16" t="s">
        <v>121</v>
      </c>
      <c r="B78" s="141"/>
      <c r="C78" s="35" t="s">
        <v>890</v>
      </c>
      <c r="D78" s="17" t="s">
        <v>811</v>
      </c>
      <c r="E78" s="18" t="s">
        <v>1392</v>
      </c>
      <c r="F78" s="17" t="s">
        <v>815</v>
      </c>
      <c r="G78" s="20" t="s">
        <v>1507</v>
      </c>
      <c r="H78" s="79">
        <v>7331423009299</v>
      </c>
      <c r="I78" s="80">
        <v>7331423101603</v>
      </c>
      <c r="J78" s="80">
        <v>7331423201884</v>
      </c>
      <c r="K78" s="80">
        <v>17331423201881</v>
      </c>
      <c r="L78" s="38" t="s">
        <v>148</v>
      </c>
      <c r="M78" s="29" t="s">
        <v>327</v>
      </c>
      <c r="N78" s="6">
        <v>5.99</v>
      </c>
      <c r="O78" s="37">
        <v>12</v>
      </c>
      <c r="P78" s="228">
        <v>72</v>
      </c>
      <c r="Q78" s="101">
        <f t="shared" si="58"/>
        <v>3.9683207193277961E-2</v>
      </c>
      <c r="R78" s="35">
        <f t="shared" si="44"/>
        <v>6.6929133858267722</v>
      </c>
      <c r="S78" s="102">
        <v>1.5</v>
      </c>
      <c r="T78" s="103">
        <v>1</v>
      </c>
      <c r="U78" s="101">
        <v>0.1</v>
      </c>
      <c r="V78" s="35">
        <v>2.5625</v>
      </c>
      <c r="W78" s="35">
        <v>1</v>
      </c>
      <c r="X78" s="72">
        <v>9.5</v>
      </c>
      <c r="Y78" s="101">
        <v>1.05</v>
      </c>
      <c r="Z78" s="102">
        <v>5.8125</v>
      </c>
      <c r="AA78" s="102">
        <v>4.125</v>
      </c>
      <c r="AB78" s="103">
        <v>9.75</v>
      </c>
      <c r="AC78" s="46">
        <v>7</v>
      </c>
      <c r="AD78" s="35">
        <v>14.375</v>
      </c>
      <c r="AE78" s="35">
        <v>12</v>
      </c>
      <c r="AF78" s="72">
        <v>10.5</v>
      </c>
      <c r="AG78" s="44">
        <f t="shared" si="43"/>
        <v>1.0481770833333333</v>
      </c>
      <c r="AH78" s="39" t="s">
        <v>1885</v>
      </c>
      <c r="AI78" s="39" t="s">
        <v>1887</v>
      </c>
      <c r="AJ78" s="39" t="s">
        <v>875</v>
      </c>
      <c r="AK78" s="39" t="s">
        <v>1888</v>
      </c>
      <c r="AL78" s="39" t="s">
        <v>1889</v>
      </c>
      <c r="AM78" s="39" t="s">
        <v>680</v>
      </c>
      <c r="AN78" s="39" t="s">
        <v>1890</v>
      </c>
      <c r="AO78" s="39" t="s">
        <v>1891</v>
      </c>
      <c r="AP78" s="39" t="s">
        <v>109</v>
      </c>
      <c r="AQ78" s="20" t="s">
        <v>1839</v>
      </c>
      <c r="AR78" s="97" t="s">
        <v>1838</v>
      </c>
    </row>
    <row r="79" spans="1:44" s="16" customFormat="1" ht="13.8" x14ac:dyDescent="0.3">
      <c r="A79" s="16" t="s">
        <v>121</v>
      </c>
      <c r="B79" s="141"/>
      <c r="C79" s="35" t="s">
        <v>890</v>
      </c>
      <c r="D79" s="17" t="s">
        <v>1743</v>
      </c>
      <c r="E79" s="18" t="s">
        <v>1392</v>
      </c>
      <c r="F79" s="17" t="s">
        <v>887</v>
      </c>
      <c r="G79" s="20" t="s">
        <v>1507</v>
      </c>
      <c r="H79" s="79">
        <v>7331423009268</v>
      </c>
      <c r="I79" s="80">
        <v>7331423101573</v>
      </c>
      <c r="J79" s="80">
        <v>7331423201853</v>
      </c>
      <c r="K79" s="80">
        <v>17331423201850</v>
      </c>
      <c r="L79" s="38" t="s">
        <v>148</v>
      </c>
      <c r="M79" s="29" t="s">
        <v>327</v>
      </c>
      <c r="N79" s="6">
        <v>5.99</v>
      </c>
      <c r="O79" s="37">
        <v>12</v>
      </c>
      <c r="P79" s="228">
        <v>72</v>
      </c>
      <c r="Q79" s="101">
        <f t="shared" si="58"/>
        <v>3.9683207193277961E-2</v>
      </c>
      <c r="R79" s="35">
        <f t="shared" si="44"/>
        <v>6.6929133858267722</v>
      </c>
      <c r="S79" s="102">
        <v>1.5</v>
      </c>
      <c r="T79" s="103">
        <v>1</v>
      </c>
      <c r="U79" s="101">
        <v>0.1</v>
      </c>
      <c r="V79" s="35">
        <v>2.5625</v>
      </c>
      <c r="W79" s="35">
        <v>1</v>
      </c>
      <c r="X79" s="72">
        <v>9.5</v>
      </c>
      <c r="Y79" s="101">
        <v>1.05</v>
      </c>
      <c r="Z79" s="102">
        <v>5.8125</v>
      </c>
      <c r="AA79" s="102">
        <v>4.125</v>
      </c>
      <c r="AB79" s="103">
        <v>9.75</v>
      </c>
      <c r="AC79" s="46">
        <v>7</v>
      </c>
      <c r="AD79" s="35">
        <v>14.375</v>
      </c>
      <c r="AE79" s="35">
        <v>12</v>
      </c>
      <c r="AF79" s="72">
        <v>10.5</v>
      </c>
      <c r="AG79" s="44">
        <f t="shared" si="43"/>
        <v>1.0481770833333333</v>
      </c>
      <c r="AH79" s="39" t="s">
        <v>1885</v>
      </c>
      <c r="AI79" s="39" t="s">
        <v>1887</v>
      </c>
      <c r="AJ79" s="39" t="s">
        <v>875</v>
      </c>
      <c r="AK79" s="39" t="s">
        <v>1888</v>
      </c>
      <c r="AL79" s="39" t="s">
        <v>1889</v>
      </c>
      <c r="AM79" s="39" t="s">
        <v>680</v>
      </c>
      <c r="AN79" s="39" t="s">
        <v>1890</v>
      </c>
      <c r="AO79" s="39" t="s">
        <v>1891</v>
      </c>
      <c r="AP79" s="39" t="s">
        <v>109</v>
      </c>
      <c r="AQ79" s="20" t="s">
        <v>1839</v>
      </c>
      <c r="AR79" s="97" t="s">
        <v>1838</v>
      </c>
    </row>
    <row r="80" spans="1:44" s="16" customFormat="1" ht="13.8" x14ac:dyDescent="0.3">
      <c r="A80" s="16" t="s">
        <v>121</v>
      </c>
      <c r="B80" s="141"/>
      <c r="C80" s="35" t="s">
        <v>890</v>
      </c>
      <c r="D80" s="17" t="s">
        <v>1744</v>
      </c>
      <c r="E80" s="18" t="s">
        <v>1392</v>
      </c>
      <c r="F80" s="17" t="s">
        <v>888</v>
      </c>
      <c r="G80" s="20" t="s">
        <v>1507</v>
      </c>
      <c r="H80" s="79">
        <v>7331423009282</v>
      </c>
      <c r="I80" s="80">
        <v>7331423101597</v>
      </c>
      <c r="J80" s="80">
        <v>7331423201877</v>
      </c>
      <c r="K80" s="80">
        <v>17331423201874</v>
      </c>
      <c r="L80" s="38" t="s">
        <v>148</v>
      </c>
      <c r="M80" s="29" t="s">
        <v>327</v>
      </c>
      <c r="N80" s="6">
        <v>5.99</v>
      </c>
      <c r="O80" s="37">
        <v>12</v>
      </c>
      <c r="P80" s="228">
        <v>72</v>
      </c>
      <c r="Q80" s="101">
        <f t="shared" si="58"/>
        <v>3.9683207193277961E-2</v>
      </c>
      <c r="R80" s="35">
        <f t="shared" si="44"/>
        <v>6.6929133858267722</v>
      </c>
      <c r="S80" s="102">
        <v>1.5</v>
      </c>
      <c r="T80" s="103">
        <v>1</v>
      </c>
      <c r="U80" s="101">
        <v>0.1</v>
      </c>
      <c r="V80" s="35">
        <v>2.5625</v>
      </c>
      <c r="W80" s="35">
        <v>1</v>
      </c>
      <c r="X80" s="72">
        <v>9.5</v>
      </c>
      <c r="Y80" s="101">
        <v>1.05</v>
      </c>
      <c r="Z80" s="102">
        <v>5.8125</v>
      </c>
      <c r="AA80" s="102">
        <v>4.125</v>
      </c>
      <c r="AB80" s="103">
        <v>9.75</v>
      </c>
      <c r="AC80" s="46">
        <v>7</v>
      </c>
      <c r="AD80" s="35">
        <v>14.375</v>
      </c>
      <c r="AE80" s="35">
        <v>12</v>
      </c>
      <c r="AF80" s="72">
        <v>10.5</v>
      </c>
      <c r="AG80" s="44">
        <f t="shared" si="43"/>
        <v>1.0481770833333333</v>
      </c>
      <c r="AH80" s="39" t="s">
        <v>1885</v>
      </c>
      <c r="AI80" s="39" t="s">
        <v>1887</v>
      </c>
      <c r="AJ80" s="39" t="s">
        <v>875</v>
      </c>
      <c r="AK80" s="39" t="s">
        <v>1888</v>
      </c>
      <c r="AL80" s="39" t="s">
        <v>1889</v>
      </c>
      <c r="AM80" s="39" t="s">
        <v>680</v>
      </c>
      <c r="AN80" s="39" t="s">
        <v>1890</v>
      </c>
      <c r="AO80" s="39" t="s">
        <v>1891</v>
      </c>
      <c r="AP80" s="39" t="s">
        <v>109</v>
      </c>
      <c r="AQ80" s="20" t="s">
        <v>1839</v>
      </c>
      <c r="AR80" s="97" t="s">
        <v>1838</v>
      </c>
    </row>
    <row r="81" spans="1:44" s="20" customFormat="1" ht="13.8" x14ac:dyDescent="0.3">
      <c r="A81" s="20" t="s">
        <v>121</v>
      </c>
      <c r="C81" s="35" t="s">
        <v>890</v>
      </c>
      <c r="D81" s="35" t="s">
        <v>1745</v>
      </c>
      <c r="E81" s="36" t="s">
        <v>1392</v>
      </c>
      <c r="F81" s="35" t="s">
        <v>889</v>
      </c>
      <c r="G81" s="20" t="s">
        <v>1507</v>
      </c>
      <c r="H81" s="80">
        <v>7331423009251</v>
      </c>
      <c r="I81" s="80">
        <v>7331423101566</v>
      </c>
      <c r="J81" s="80">
        <v>7331423201846</v>
      </c>
      <c r="K81" s="80">
        <v>17331423201843</v>
      </c>
      <c r="L81" s="38" t="s">
        <v>148</v>
      </c>
      <c r="M81" s="38" t="s">
        <v>327</v>
      </c>
      <c r="N81" s="7">
        <v>5.99</v>
      </c>
      <c r="O81" s="37">
        <v>12</v>
      </c>
      <c r="P81" s="228">
        <v>72</v>
      </c>
      <c r="Q81" s="101">
        <f t="shared" si="58"/>
        <v>3.9683207193277961E-2</v>
      </c>
      <c r="R81" s="35">
        <f t="shared" si="44"/>
        <v>6.6929133858267722</v>
      </c>
      <c r="S81" s="102">
        <v>1.5</v>
      </c>
      <c r="T81" s="103">
        <v>1</v>
      </c>
      <c r="U81" s="101">
        <v>0.1</v>
      </c>
      <c r="V81" s="35">
        <v>2.5625</v>
      </c>
      <c r="W81" s="35">
        <v>1</v>
      </c>
      <c r="X81" s="72">
        <v>9.5</v>
      </c>
      <c r="Y81" s="101">
        <v>1.05</v>
      </c>
      <c r="Z81" s="102">
        <v>5.8125</v>
      </c>
      <c r="AA81" s="102">
        <v>4.125</v>
      </c>
      <c r="AB81" s="102">
        <v>9.75</v>
      </c>
      <c r="AC81" s="46">
        <v>7</v>
      </c>
      <c r="AD81" s="35">
        <v>14.375</v>
      </c>
      <c r="AE81" s="35">
        <v>12</v>
      </c>
      <c r="AF81" s="72">
        <v>10.5</v>
      </c>
      <c r="AG81" s="35">
        <f t="shared" si="43"/>
        <v>1.0481770833333333</v>
      </c>
      <c r="AH81" s="39" t="s">
        <v>1885</v>
      </c>
      <c r="AI81" s="39" t="s">
        <v>1887</v>
      </c>
      <c r="AJ81" s="39" t="s">
        <v>875</v>
      </c>
      <c r="AK81" s="39" t="s">
        <v>1888</v>
      </c>
      <c r="AL81" s="39" t="s">
        <v>1889</v>
      </c>
      <c r="AM81" s="39" t="s">
        <v>680</v>
      </c>
      <c r="AN81" s="39" t="s">
        <v>1890</v>
      </c>
      <c r="AO81" s="39" t="s">
        <v>1891</v>
      </c>
      <c r="AP81" s="39" t="s">
        <v>109</v>
      </c>
      <c r="AQ81" s="20" t="s">
        <v>1839</v>
      </c>
      <c r="AR81" s="97" t="s">
        <v>1838</v>
      </c>
    </row>
    <row r="82" spans="1:44" s="16" customFormat="1" ht="13.8" x14ac:dyDescent="0.3">
      <c r="A82" s="16" t="s">
        <v>121</v>
      </c>
      <c r="B82" s="39"/>
      <c r="C82" s="35" t="s">
        <v>890</v>
      </c>
      <c r="D82" s="35" t="s">
        <v>2719</v>
      </c>
      <c r="E82" s="18" t="s">
        <v>1392</v>
      </c>
      <c r="F82" s="17" t="s">
        <v>1818</v>
      </c>
      <c r="G82" s="20" t="s">
        <v>1507</v>
      </c>
      <c r="H82" s="401">
        <v>7331423010059</v>
      </c>
      <c r="I82" s="401">
        <v>7331423101658</v>
      </c>
      <c r="J82" s="401">
        <v>7331423202355</v>
      </c>
      <c r="K82" s="401">
        <v>17331423202437</v>
      </c>
      <c r="L82" s="38" t="s">
        <v>148</v>
      </c>
      <c r="M82" s="29" t="s">
        <v>327</v>
      </c>
      <c r="N82" s="6">
        <v>5.99</v>
      </c>
      <c r="O82" s="137">
        <v>12</v>
      </c>
      <c r="P82" s="229">
        <v>72</v>
      </c>
      <c r="Q82" s="101">
        <f t="shared" si="58"/>
        <v>3.9683207193277961E-2</v>
      </c>
      <c r="R82" s="35">
        <f t="shared" si="44"/>
        <v>6.6929133858267722</v>
      </c>
      <c r="S82" s="102">
        <v>1.5</v>
      </c>
      <c r="T82" s="103">
        <v>1</v>
      </c>
      <c r="U82" s="101">
        <v>0.1</v>
      </c>
      <c r="V82" s="35">
        <v>2.5625</v>
      </c>
      <c r="W82" s="35">
        <v>1</v>
      </c>
      <c r="X82" s="72">
        <v>9.5</v>
      </c>
      <c r="Y82" s="101">
        <v>1.05</v>
      </c>
      <c r="Z82" s="102">
        <v>5.8125</v>
      </c>
      <c r="AA82" s="102">
        <v>4.125</v>
      </c>
      <c r="AB82" s="103">
        <v>9.75</v>
      </c>
      <c r="AC82" s="46">
        <v>7</v>
      </c>
      <c r="AD82" s="35">
        <v>14.375</v>
      </c>
      <c r="AE82" s="35">
        <v>12</v>
      </c>
      <c r="AF82" s="72">
        <v>10.5</v>
      </c>
      <c r="AG82" s="44">
        <f t="shared" si="43"/>
        <v>1.0481770833333333</v>
      </c>
      <c r="AH82" s="39" t="s">
        <v>1885</v>
      </c>
      <c r="AI82" s="39" t="s">
        <v>1887</v>
      </c>
      <c r="AJ82" s="39" t="s">
        <v>875</v>
      </c>
      <c r="AK82" s="39" t="s">
        <v>1888</v>
      </c>
      <c r="AL82" s="39" t="s">
        <v>1889</v>
      </c>
      <c r="AM82" s="39" t="s">
        <v>680</v>
      </c>
      <c r="AN82" s="39" t="s">
        <v>1890</v>
      </c>
      <c r="AO82" s="39" t="s">
        <v>1891</v>
      </c>
      <c r="AP82" s="39" t="s">
        <v>109</v>
      </c>
      <c r="AQ82" s="20" t="s">
        <v>1839</v>
      </c>
      <c r="AR82" s="97" t="s">
        <v>1838</v>
      </c>
    </row>
    <row r="83" spans="1:44" s="16" customFormat="1" ht="13.8" x14ac:dyDescent="0.3">
      <c r="A83" s="16" t="s">
        <v>121</v>
      </c>
      <c r="B83" s="39"/>
      <c r="C83" s="35" t="s">
        <v>890</v>
      </c>
      <c r="D83" s="35" t="s">
        <v>2718</v>
      </c>
      <c r="E83" s="18" t="s">
        <v>1392</v>
      </c>
      <c r="F83" s="17" t="s">
        <v>2717</v>
      </c>
      <c r="G83" s="20" t="s">
        <v>1507</v>
      </c>
      <c r="H83" s="401">
        <v>7331423010066</v>
      </c>
      <c r="I83" s="401">
        <v>7331423101665</v>
      </c>
      <c r="J83" s="401">
        <v>7331423202362</v>
      </c>
      <c r="K83" s="401">
        <v>17331423202444</v>
      </c>
      <c r="L83" s="38" t="s">
        <v>148</v>
      </c>
      <c r="M83" s="29" t="s">
        <v>327</v>
      </c>
      <c r="N83" s="6">
        <v>5.99</v>
      </c>
      <c r="O83" s="137">
        <v>12</v>
      </c>
      <c r="P83" s="229">
        <v>72</v>
      </c>
      <c r="Q83" s="101">
        <f>CONVERT(18,"g","lbm")</f>
        <v>3.9683207193277961E-2</v>
      </c>
      <c r="R83" s="35">
        <f t="shared" si="44"/>
        <v>6.6929133858267722</v>
      </c>
      <c r="S83" s="102">
        <v>1.5</v>
      </c>
      <c r="T83" s="103">
        <v>1</v>
      </c>
      <c r="U83" s="101">
        <v>0.1</v>
      </c>
      <c r="V83" s="35">
        <v>2.5625</v>
      </c>
      <c r="W83" s="35">
        <v>1</v>
      </c>
      <c r="X83" s="72">
        <v>9.5</v>
      </c>
      <c r="Y83" s="101">
        <v>1.05</v>
      </c>
      <c r="Z83" s="102">
        <v>5.8125</v>
      </c>
      <c r="AA83" s="102">
        <v>4.125</v>
      </c>
      <c r="AB83" s="103">
        <v>9.75</v>
      </c>
      <c r="AC83" s="46">
        <v>7</v>
      </c>
      <c r="AD83" s="35">
        <v>14.375</v>
      </c>
      <c r="AE83" s="35">
        <v>12</v>
      </c>
      <c r="AF83" s="72">
        <v>10.5</v>
      </c>
      <c r="AG83" s="44">
        <f t="shared" si="43"/>
        <v>1.0481770833333333</v>
      </c>
      <c r="AH83" s="39" t="s">
        <v>1885</v>
      </c>
      <c r="AI83" s="39" t="s">
        <v>1887</v>
      </c>
      <c r="AJ83" s="39" t="s">
        <v>875</v>
      </c>
      <c r="AK83" s="39" t="s">
        <v>1888</v>
      </c>
      <c r="AL83" s="39" t="s">
        <v>1889</v>
      </c>
      <c r="AM83" s="39" t="s">
        <v>680</v>
      </c>
      <c r="AN83" s="39" t="s">
        <v>1890</v>
      </c>
      <c r="AO83" s="39" t="s">
        <v>1891</v>
      </c>
      <c r="AP83" s="39" t="s">
        <v>109</v>
      </c>
      <c r="AQ83" s="20" t="s">
        <v>1839</v>
      </c>
      <c r="AR83" s="97" t="s">
        <v>1838</v>
      </c>
    </row>
    <row r="84" spans="1:44" s="20" customFormat="1" ht="13.8" x14ac:dyDescent="0.3">
      <c r="A84" s="20" t="s">
        <v>121</v>
      </c>
      <c r="B84" s="141"/>
      <c r="C84" s="35" t="s">
        <v>82</v>
      </c>
      <c r="D84" s="35" t="s">
        <v>371</v>
      </c>
      <c r="E84" s="36" t="s">
        <v>1393</v>
      </c>
      <c r="F84" s="20" t="s">
        <v>1727</v>
      </c>
      <c r="G84" s="35" t="s">
        <v>1485</v>
      </c>
      <c r="H84" s="80">
        <v>7331423006441</v>
      </c>
      <c r="I84" s="80">
        <v>7331423006441</v>
      </c>
      <c r="J84" s="80">
        <v>7331423006441</v>
      </c>
      <c r="K84" s="80" t="s">
        <v>66</v>
      </c>
      <c r="L84" s="38" t="s">
        <v>148</v>
      </c>
      <c r="M84" s="38" t="s">
        <v>327</v>
      </c>
      <c r="N84" s="7">
        <v>2.99</v>
      </c>
      <c r="O84" s="37">
        <v>25</v>
      </c>
      <c r="P84" s="228">
        <v>500</v>
      </c>
      <c r="Q84" s="101">
        <f>CONVERT(10,"g","lbm")</f>
        <v>2.2046226218487758E-2</v>
      </c>
      <c r="R84" s="35">
        <f t="shared" si="44"/>
        <v>6.6929133858267722</v>
      </c>
      <c r="S84" s="102">
        <v>1.5</v>
      </c>
      <c r="T84" s="103">
        <v>0.875</v>
      </c>
      <c r="U84" s="46">
        <f t="shared" ref="U84:U108" si="59">CONVERT(0.0098,"kg","lbm")</f>
        <v>2.1605301694118003E-2</v>
      </c>
      <c r="V84" s="35">
        <f t="shared" ref="V84:V108" si="60">CONVERT(37,"mm","in")</f>
        <v>1.4566929133858268</v>
      </c>
      <c r="W84" s="35">
        <f t="shared" ref="W84:W108" si="61">CONVERT(15,"mm","in")</f>
        <v>0.59055118110236215</v>
      </c>
      <c r="X84" s="72">
        <f t="shared" ref="X84:X108" si="62">CONVERT(170,"mm","in")</f>
        <v>6.6929133858267713</v>
      </c>
      <c r="Y84" s="46">
        <f t="shared" ref="Y84:Y108" si="63">CONVERT(0.2504,"kg","lbm")</f>
        <v>0.55203750451093347</v>
      </c>
      <c r="Z84" s="35">
        <f t="shared" ref="Z84:Z108" si="64">CONVERT(37,"mm","in")</f>
        <v>1.4566929133858268</v>
      </c>
      <c r="AA84" s="35">
        <f t="shared" ref="AA84:AA108" si="65">CONVERT(84,"mm","in")</f>
        <v>3.3070866141732287</v>
      </c>
      <c r="AB84" s="72">
        <f t="shared" ref="AB84:AB108" si="66">CONVERT(170,"mm","in")</f>
        <v>6.6929133858267713</v>
      </c>
      <c r="AC84" s="46">
        <f t="shared" ref="AC84:AC108" si="67">CONVERT(5.175,"kg","lbm")</f>
        <v>11.408922068067415</v>
      </c>
      <c r="AD84" s="35">
        <f t="shared" ref="AD84:AD108" si="68">CONVERT(305,"mm","in")</f>
        <v>12.007874015748031</v>
      </c>
      <c r="AE84" s="35">
        <f t="shared" ref="AE84:AE108" si="69">CONVERT(175,"mm","in")</f>
        <v>6.8897637795275584</v>
      </c>
      <c r="AF84" s="72">
        <f t="shared" ref="AF84:AF108" si="70">CONVERT(185,"mm","in")</f>
        <v>7.2834645669291342</v>
      </c>
      <c r="AG84" s="46">
        <f t="shared" si="43"/>
        <v>0.34871026220799889</v>
      </c>
      <c r="AH84" s="39" t="s">
        <v>1886</v>
      </c>
      <c r="AI84" s="39" t="s">
        <v>1887</v>
      </c>
      <c r="AJ84" s="39" t="s">
        <v>875</v>
      </c>
      <c r="AK84" s="39" t="s">
        <v>1888</v>
      </c>
      <c r="AL84" s="39" t="s">
        <v>1889</v>
      </c>
      <c r="AM84" s="39" t="s">
        <v>680</v>
      </c>
      <c r="AN84" s="39" t="s">
        <v>1890</v>
      </c>
      <c r="AO84" s="39" t="s">
        <v>1891</v>
      </c>
      <c r="AP84" s="39" t="s">
        <v>109</v>
      </c>
      <c r="AQ84" s="20" t="s">
        <v>1839</v>
      </c>
      <c r="AR84" s="97" t="s">
        <v>1838</v>
      </c>
    </row>
    <row r="85" spans="1:44" s="16" customFormat="1" ht="13.8" x14ac:dyDescent="0.3">
      <c r="A85" s="16" t="s">
        <v>121</v>
      </c>
      <c r="B85" s="143"/>
      <c r="C85" s="35" t="s">
        <v>82</v>
      </c>
      <c r="D85" s="35" t="s">
        <v>1618</v>
      </c>
      <c r="E85" s="18" t="s">
        <v>1393</v>
      </c>
      <c r="F85" s="17" t="s">
        <v>1750</v>
      </c>
      <c r="G85" s="17" t="s">
        <v>1485</v>
      </c>
      <c r="H85" s="80">
        <v>7331423006281</v>
      </c>
      <c r="I85" s="80">
        <v>7331423006281</v>
      </c>
      <c r="J85" s="80">
        <v>7331423006281</v>
      </c>
      <c r="K85" s="80" t="s">
        <v>66</v>
      </c>
      <c r="L85" s="29" t="s">
        <v>148</v>
      </c>
      <c r="M85" s="29" t="s">
        <v>327</v>
      </c>
      <c r="N85" s="6">
        <v>2.99</v>
      </c>
      <c r="O85" s="37">
        <v>25</v>
      </c>
      <c r="P85" s="228">
        <v>500</v>
      </c>
      <c r="Q85" s="101">
        <f t="shared" ref="Q85:Q108" si="71">CONVERT(9,"g","lbm")</f>
        <v>1.9841603596638981E-2</v>
      </c>
      <c r="R85" s="35">
        <f t="shared" si="44"/>
        <v>6.6929133858267722</v>
      </c>
      <c r="S85" s="102">
        <v>1.5</v>
      </c>
      <c r="T85" s="103">
        <v>0.875</v>
      </c>
      <c r="U85" s="46">
        <f t="shared" si="59"/>
        <v>2.1605301694118003E-2</v>
      </c>
      <c r="V85" s="35">
        <f t="shared" si="60"/>
        <v>1.4566929133858268</v>
      </c>
      <c r="W85" s="35">
        <f t="shared" si="61"/>
        <v>0.59055118110236215</v>
      </c>
      <c r="X85" s="72">
        <f t="shared" si="62"/>
        <v>6.6929133858267713</v>
      </c>
      <c r="Y85" s="46">
        <f t="shared" si="63"/>
        <v>0.55203750451093347</v>
      </c>
      <c r="Z85" s="35">
        <f t="shared" si="64"/>
        <v>1.4566929133858268</v>
      </c>
      <c r="AA85" s="35">
        <f t="shared" si="65"/>
        <v>3.3070866141732287</v>
      </c>
      <c r="AB85" s="72">
        <f t="shared" si="66"/>
        <v>6.6929133858267713</v>
      </c>
      <c r="AC85" s="46">
        <f t="shared" si="67"/>
        <v>11.408922068067415</v>
      </c>
      <c r="AD85" s="35">
        <f t="shared" si="68"/>
        <v>12.007874015748031</v>
      </c>
      <c r="AE85" s="35">
        <f t="shared" si="69"/>
        <v>6.8897637795275584</v>
      </c>
      <c r="AF85" s="72">
        <f t="shared" si="70"/>
        <v>7.2834645669291342</v>
      </c>
      <c r="AG85" s="44">
        <f t="shared" si="43"/>
        <v>0.34871026220799889</v>
      </c>
      <c r="AH85" s="39" t="s">
        <v>1886</v>
      </c>
      <c r="AI85" s="39" t="s">
        <v>1887</v>
      </c>
      <c r="AJ85" s="39" t="s">
        <v>875</v>
      </c>
      <c r="AK85" s="39" t="s">
        <v>1888</v>
      </c>
      <c r="AL85" s="39" t="s">
        <v>1889</v>
      </c>
      <c r="AM85" s="39" t="s">
        <v>680</v>
      </c>
      <c r="AN85" s="39" t="s">
        <v>1890</v>
      </c>
      <c r="AO85" s="39" t="s">
        <v>1891</v>
      </c>
      <c r="AP85" s="39" t="s">
        <v>109</v>
      </c>
      <c r="AQ85" s="20" t="s">
        <v>1839</v>
      </c>
      <c r="AR85" s="97" t="s">
        <v>1838</v>
      </c>
    </row>
    <row r="86" spans="1:44" s="16" customFormat="1" ht="13.8" x14ac:dyDescent="0.3">
      <c r="A86" s="16" t="s">
        <v>121</v>
      </c>
      <c r="B86" s="143"/>
      <c r="C86" s="35" t="s">
        <v>82</v>
      </c>
      <c r="D86" s="35" t="s">
        <v>786</v>
      </c>
      <c r="E86" s="18" t="s">
        <v>1393</v>
      </c>
      <c r="F86" s="20" t="s">
        <v>1740</v>
      </c>
      <c r="G86" s="17" t="s">
        <v>1485</v>
      </c>
      <c r="H86" s="118">
        <v>7331423008346</v>
      </c>
      <c r="I86" s="118">
        <v>7331423101283</v>
      </c>
      <c r="J86" s="118">
        <v>7331423201518</v>
      </c>
      <c r="K86" s="118">
        <v>17331423201515</v>
      </c>
      <c r="L86" s="29" t="s">
        <v>148</v>
      </c>
      <c r="M86" s="29" t="s">
        <v>327</v>
      </c>
      <c r="N86" s="6">
        <v>2.99</v>
      </c>
      <c r="O86" s="37">
        <v>25</v>
      </c>
      <c r="P86" s="228">
        <v>500</v>
      </c>
      <c r="Q86" s="101">
        <f t="shared" si="71"/>
        <v>1.9841603596638981E-2</v>
      </c>
      <c r="R86" s="35">
        <f t="shared" si="44"/>
        <v>6.6929133858267722</v>
      </c>
      <c r="S86" s="102">
        <v>1.5</v>
      </c>
      <c r="T86" s="103">
        <v>0.875</v>
      </c>
      <c r="U86" s="46">
        <f t="shared" si="59"/>
        <v>2.1605301694118003E-2</v>
      </c>
      <c r="V86" s="35">
        <f t="shared" si="60"/>
        <v>1.4566929133858268</v>
      </c>
      <c r="W86" s="35">
        <f t="shared" si="61"/>
        <v>0.59055118110236215</v>
      </c>
      <c r="X86" s="72">
        <f t="shared" si="62"/>
        <v>6.6929133858267713</v>
      </c>
      <c r="Y86" s="46">
        <f t="shared" si="63"/>
        <v>0.55203750451093347</v>
      </c>
      <c r="Z86" s="35">
        <f t="shared" si="64"/>
        <v>1.4566929133858268</v>
      </c>
      <c r="AA86" s="35">
        <f t="shared" si="65"/>
        <v>3.3070866141732287</v>
      </c>
      <c r="AB86" s="72">
        <f t="shared" si="66"/>
        <v>6.6929133858267713</v>
      </c>
      <c r="AC86" s="46">
        <f t="shared" si="67"/>
        <v>11.408922068067415</v>
      </c>
      <c r="AD86" s="35">
        <f t="shared" si="68"/>
        <v>12.007874015748031</v>
      </c>
      <c r="AE86" s="35">
        <f t="shared" si="69"/>
        <v>6.8897637795275584</v>
      </c>
      <c r="AF86" s="72">
        <f t="shared" si="70"/>
        <v>7.2834645669291342</v>
      </c>
      <c r="AG86" s="44">
        <f t="shared" si="43"/>
        <v>0.34871026220799889</v>
      </c>
      <c r="AH86" s="39" t="s">
        <v>1886</v>
      </c>
      <c r="AI86" s="39" t="s">
        <v>1887</v>
      </c>
      <c r="AJ86" s="39" t="s">
        <v>875</v>
      </c>
      <c r="AK86" s="39" t="s">
        <v>1888</v>
      </c>
      <c r="AL86" s="39" t="s">
        <v>1889</v>
      </c>
      <c r="AM86" s="39" t="s">
        <v>680</v>
      </c>
      <c r="AN86" s="39" t="s">
        <v>1890</v>
      </c>
      <c r="AO86" s="39" t="s">
        <v>1891</v>
      </c>
      <c r="AP86" s="39" t="s">
        <v>109</v>
      </c>
      <c r="AQ86" s="20" t="s">
        <v>1839</v>
      </c>
      <c r="AR86" s="97" t="s">
        <v>1838</v>
      </c>
    </row>
    <row r="87" spans="1:44" s="16" customFormat="1" ht="13.8" x14ac:dyDescent="0.3">
      <c r="A87" s="16" t="s">
        <v>121</v>
      </c>
      <c r="B87" s="143"/>
      <c r="C87" s="35" t="s">
        <v>82</v>
      </c>
      <c r="D87" s="35" t="s">
        <v>95</v>
      </c>
      <c r="E87" s="18" t="s">
        <v>1393</v>
      </c>
      <c r="F87" s="17" t="s">
        <v>111</v>
      </c>
      <c r="G87" s="17" t="s">
        <v>1485</v>
      </c>
      <c r="H87" s="80">
        <v>7331423002368</v>
      </c>
      <c r="I87" s="80">
        <v>7331423101153</v>
      </c>
      <c r="J87" s="80">
        <v>7331423201389</v>
      </c>
      <c r="K87" s="80">
        <v>17331423201386</v>
      </c>
      <c r="L87" s="29" t="s">
        <v>148</v>
      </c>
      <c r="M87" s="29" t="s">
        <v>327</v>
      </c>
      <c r="N87" s="6">
        <v>2.99</v>
      </c>
      <c r="O87" s="37">
        <v>25</v>
      </c>
      <c r="P87" s="228">
        <v>500</v>
      </c>
      <c r="Q87" s="101">
        <f t="shared" si="71"/>
        <v>1.9841603596638981E-2</v>
      </c>
      <c r="R87" s="35">
        <f t="shared" si="44"/>
        <v>6.6929133858267722</v>
      </c>
      <c r="S87" s="102">
        <v>1.5</v>
      </c>
      <c r="T87" s="103">
        <v>0.875</v>
      </c>
      <c r="U87" s="46">
        <f t="shared" si="59"/>
        <v>2.1605301694118003E-2</v>
      </c>
      <c r="V87" s="35">
        <f t="shared" si="60"/>
        <v>1.4566929133858268</v>
      </c>
      <c r="W87" s="35">
        <f t="shared" si="61"/>
        <v>0.59055118110236215</v>
      </c>
      <c r="X87" s="72">
        <f t="shared" si="62"/>
        <v>6.6929133858267713</v>
      </c>
      <c r="Y87" s="46">
        <f t="shared" si="63"/>
        <v>0.55203750451093347</v>
      </c>
      <c r="Z87" s="35">
        <f t="shared" si="64"/>
        <v>1.4566929133858268</v>
      </c>
      <c r="AA87" s="35">
        <f t="shared" si="65"/>
        <v>3.3070866141732287</v>
      </c>
      <c r="AB87" s="72">
        <f t="shared" si="66"/>
        <v>6.6929133858267713</v>
      </c>
      <c r="AC87" s="46">
        <f t="shared" si="67"/>
        <v>11.408922068067415</v>
      </c>
      <c r="AD87" s="35">
        <f t="shared" si="68"/>
        <v>12.007874015748031</v>
      </c>
      <c r="AE87" s="35">
        <f t="shared" si="69"/>
        <v>6.8897637795275584</v>
      </c>
      <c r="AF87" s="72">
        <f t="shared" si="70"/>
        <v>7.2834645669291342</v>
      </c>
      <c r="AG87" s="44">
        <f t="shared" si="43"/>
        <v>0.34871026220799889</v>
      </c>
      <c r="AH87" s="39" t="s">
        <v>1886</v>
      </c>
      <c r="AI87" s="39" t="s">
        <v>1887</v>
      </c>
      <c r="AJ87" s="39" t="s">
        <v>875</v>
      </c>
      <c r="AK87" s="39" t="s">
        <v>1888</v>
      </c>
      <c r="AL87" s="39" t="s">
        <v>1889</v>
      </c>
      <c r="AM87" s="39" t="s">
        <v>680</v>
      </c>
      <c r="AN87" s="39" t="s">
        <v>1890</v>
      </c>
      <c r="AO87" s="39" t="s">
        <v>1891</v>
      </c>
      <c r="AP87" s="39" t="s">
        <v>109</v>
      </c>
      <c r="AQ87" s="20" t="s">
        <v>1839</v>
      </c>
      <c r="AR87" s="97" t="s">
        <v>1838</v>
      </c>
    </row>
    <row r="88" spans="1:44" s="20" customFormat="1" ht="13.8" x14ac:dyDescent="0.3">
      <c r="A88" s="20" t="s">
        <v>121</v>
      </c>
      <c r="B88" s="141"/>
      <c r="C88" s="35" t="s">
        <v>82</v>
      </c>
      <c r="D88" s="451" t="s">
        <v>88</v>
      </c>
      <c r="E88" s="36" t="s">
        <v>1393</v>
      </c>
      <c r="F88" s="35" t="s">
        <v>49</v>
      </c>
      <c r="G88" s="35" t="s">
        <v>1485</v>
      </c>
      <c r="H88" s="80">
        <v>7331423002306</v>
      </c>
      <c r="I88" s="80">
        <v>7331423002306</v>
      </c>
      <c r="J88" s="80">
        <v>7331423002306</v>
      </c>
      <c r="K88" s="80" t="s">
        <v>66</v>
      </c>
      <c r="L88" s="38" t="s">
        <v>148</v>
      </c>
      <c r="M88" s="38" t="s">
        <v>327</v>
      </c>
      <c r="N88" s="7">
        <v>2.99</v>
      </c>
      <c r="O88" s="37">
        <v>25</v>
      </c>
      <c r="P88" s="228">
        <v>500</v>
      </c>
      <c r="Q88" s="101">
        <f t="shared" si="71"/>
        <v>1.9841603596638981E-2</v>
      </c>
      <c r="R88" s="35">
        <f t="shared" si="44"/>
        <v>6.6929133858267722</v>
      </c>
      <c r="S88" s="102">
        <v>1.5</v>
      </c>
      <c r="T88" s="103">
        <v>0.875</v>
      </c>
      <c r="U88" s="46">
        <f t="shared" si="59"/>
        <v>2.1605301694118003E-2</v>
      </c>
      <c r="V88" s="35">
        <f t="shared" si="60"/>
        <v>1.4566929133858268</v>
      </c>
      <c r="W88" s="35">
        <f t="shared" si="61"/>
        <v>0.59055118110236215</v>
      </c>
      <c r="X88" s="72">
        <f t="shared" si="62"/>
        <v>6.6929133858267713</v>
      </c>
      <c r="Y88" s="46">
        <f t="shared" si="63"/>
        <v>0.55203750451093347</v>
      </c>
      <c r="Z88" s="35">
        <f t="shared" si="64"/>
        <v>1.4566929133858268</v>
      </c>
      <c r="AA88" s="35">
        <f t="shared" si="65"/>
        <v>3.3070866141732287</v>
      </c>
      <c r="AB88" s="72">
        <f t="shared" si="66"/>
        <v>6.6929133858267713</v>
      </c>
      <c r="AC88" s="46">
        <f t="shared" si="67"/>
        <v>11.408922068067415</v>
      </c>
      <c r="AD88" s="35">
        <f t="shared" si="68"/>
        <v>12.007874015748031</v>
      </c>
      <c r="AE88" s="35">
        <f t="shared" si="69"/>
        <v>6.8897637795275584</v>
      </c>
      <c r="AF88" s="72">
        <f t="shared" si="70"/>
        <v>7.2834645669291342</v>
      </c>
      <c r="AG88" s="46">
        <f t="shared" si="43"/>
        <v>0.34871026220799889</v>
      </c>
      <c r="AH88" s="39" t="s">
        <v>1886</v>
      </c>
      <c r="AI88" s="39" t="s">
        <v>1887</v>
      </c>
      <c r="AJ88" s="39" t="s">
        <v>875</v>
      </c>
      <c r="AK88" s="39" t="s">
        <v>1888</v>
      </c>
      <c r="AL88" s="39" t="s">
        <v>1889</v>
      </c>
      <c r="AM88" s="39" t="s">
        <v>680</v>
      </c>
      <c r="AN88" s="39" t="s">
        <v>1890</v>
      </c>
      <c r="AO88" s="39" t="s">
        <v>1891</v>
      </c>
      <c r="AP88" s="39" t="s">
        <v>109</v>
      </c>
      <c r="AQ88" s="20" t="s">
        <v>1839</v>
      </c>
      <c r="AR88" s="97" t="s">
        <v>1838</v>
      </c>
    </row>
    <row r="89" spans="1:44" s="16" customFormat="1" ht="13.8" x14ac:dyDescent="0.3">
      <c r="A89" s="16" t="s">
        <v>121</v>
      </c>
      <c r="B89" s="143"/>
      <c r="C89" s="35" t="s">
        <v>82</v>
      </c>
      <c r="D89" s="35" t="s">
        <v>81</v>
      </c>
      <c r="E89" s="18" t="s">
        <v>1393</v>
      </c>
      <c r="F89" s="17" t="s">
        <v>112</v>
      </c>
      <c r="G89" s="17" t="s">
        <v>1485</v>
      </c>
      <c r="H89" s="80">
        <v>7331423002337</v>
      </c>
      <c r="I89" s="80">
        <v>7331423101160</v>
      </c>
      <c r="J89" s="80">
        <v>7331423201396</v>
      </c>
      <c r="K89" s="80">
        <v>17331423201393</v>
      </c>
      <c r="L89" s="29" t="s">
        <v>148</v>
      </c>
      <c r="M89" s="29" t="s">
        <v>327</v>
      </c>
      <c r="N89" s="6">
        <v>2.99</v>
      </c>
      <c r="O89" s="37">
        <v>25</v>
      </c>
      <c r="P89" s="228">
        <v>500</v>
      </c>
      <c r="Q89" s="101">
        <f t="shared" si="71"/>
        <v>1.9841603596638981E-2</v>
      </c>
      <c r="R89" s="35">
        <f t="shared" si="44"/>
        <v>6.6929133858267722</v>
      </c>
      <c r="S89" s="102">
        <v>1.5</v>
      </c>
      <c r="T89" s="103">
        <v>0.875</v>
      </c>
      <c r="U89" s="46">
        <f t="shared" si="59"/>
        <v>2.1605301694118003E-2</v>
      </c>
      <c r="V89" s="35">
        <f t="shared" si="60"/>
        <v>1.4566929133858268</v>
      </c>
      <c r="W89" s="35">
        <f t="shared" si="61"/>
        <v>0.59055118110236215</v>
      </c>
      <c r="X89" s="72">
        <f t="shared" si="62"/>
        <v>6.6929133858267713</v>
      </c>
      <c r="Y89" s="46">
        <f t="shared" si="63"/>
        <v>0.55203750451093347</v>
      </c>
      <c r="Z89" s="35">
        <f t="shared" si="64"/>
        <v>1.4566929133858268</v>
      </c>
      <c r="AA89" s="35">
        <f t="shared" si="65"/>
        <v>3.3070866141732287</v>
      </c>
      <c r="AB89" s="72">
        <f t="shared" si="66"/>
        <v>6.6929133858267713</v>
      </c>
      <c r="AC89" s="46">
        <f t="shared" si="67"/>
        <v>11.408922068067415</v>
      </c>
      <c r="AD89" s="35">
        <f t="shared" si="68"/>
        <v>12.007874015748031</v>
      </c>
      <c r="AE89" s="35">
        <f t="shared" si="69"/>
        <v>6.8897637795275584</v>
      </c>
      <c r="AF89" s="72">
        <f t="shared" si="70"/>
        <v>7.2834645669291342</v>
      </c>
      <c r="AG89" s="44">
        <f t="shared" si="43"/>
        <v>0.34871026220799889</v>
      </c>
      <c r="AH89" s="39" t="s">
        <v>1886</v>
      </c>
      <c r="AI89" s="39" t="s">
        <v>1887</v>
      </c>
      <c r="AJ89" s="39" t="s">
        <v>875</v>
      </c>
      <c r="AK89" s="39" t="s">
        <v>1888</v>
      </c>
      <c r="AL89" s="39" t="s">
        <v>1889</v>
      </c>
      <c r="AM89" s="39" t="s">
        <v>680</v>
      </c>
      <c r="AN89" s="39" t="s">
        <v>1890</v>
      </c>
      <c r="AO89" s="39" t="s">
        <v>1891</v>
      </c>
      <c r="AP89" s="39" t="s">
        <v>109</v>
      </c>
      <c r="AQ89" s="20" t="s">
        <v>1839</v>
      </c>
      <c r="AR89" s="97" t="s">
        <v>1838</v>
      </c>
    </row>
    <row r="90" spans="1:44" s="16" customFormat="1" ht="13.8" x14ac:dyDescent="0.3">
      <c r="A90" s="16" t="s">
        <v>121</v>
      </c>
      <c r="B90" s="143"/>
      <c r="C90" s="35" t="s">
        <v>82</v>
      </c>
      <c r="D90" s="35" t="s">
        <v>89</v>
      </c>
      <c r="E90" s="18" t="s">
        <v>1393</v>
      </c>
      <c r="F90" s="17" t="s">
        <v>50</v>
      </c>
      <c r="G90" s="17" t="s">
        <v>1485</v>
      </c>
      <c r="H90" s="80">
        <v>7331423002320</v>
      </c>
      <c r="I90" s="80">
        <v>7331423101221</v>
      </c>
      <c r="J90" s="80">
        <v>7331423201457</v>
      </c>
      <c r="K90" s="80">
        <v>17331423201454</v>
      </c>
      <c r="L90" s="38" t="s">
        <v>148</v>
      </c>
      <c r="M90" s="29" t="s">
        <v>327</v>
      </c>
      <c r="N90" s="6">
        <v>2.99</v>
      </c>
      <c r="O90" s="37">
        <v>25</v>
      </c>
      <c r="P90" s="228">
        <v>500</v>
      </c>
      <c r="Q90" s="101">
        <f t="shared" si="71"/>
        <v>1.9841603596638981E-2</v>
      </c>
      <c r="R90" s="35">
        <f t="shared" si="44"/>
        <v>6.6929133858267722</v>
      </c>
      <c r="S90" s="102">
        <v>1.5</v>
      </c>
      <c r="T90" s="103">
        <v>0.875</v>
      </c>
      <c r="U90" s="46">
        <f t="shared" si="59"/>
        <v>2.1605301694118003E-2</v>
      </c>
      <c r="V90" s="35">
        <f t="shared" si="60"/>
        <v>1.4566929133858268</v>
      </c>
      <c r="W90" s="35">
        <f t="shared" si="61"/>
        <v>0.59055118110236215</v>
      </c>
      <c r="X90" s="72">
        <f t="shared" si="62"/>
        <v>6.6929133858267713</v>
      </c>
      <c r="Y90" s="46">
        <f t="shared" si="63"/>
        <v>0.55203750451093347</v>
      </c>
      <c r="Z90" s="35">
        <f t="shared" si="64"/>
        <v>1.4566929133858268</v>
      </c>
      <c r="AA90" s="35">
        <f t="shared" si="65"/>
        <v>3.3070866141732287</v>
      </c>
      <c r="AB90" s="72">
        <f t="shared" si="66"/>
        <v>6.6929133858267713</v>
      </c>
      <c r="AC90" s="46">
        <f t="shared" si="67"/>
        <v>11.408922068067415</v>
      </c>
      <c r="AD90" s="35">
        <f t="shared" si="68"/>
        <v>12.007874015748031</v>
      </c>
      <c r="AE90" s="35">
        <f t="shared" si="69"/>
        <v>6.8897637795275584</v>
      </c>
      <c r="AF90" s="72">
        <f t="shared" si="70"/>
        <v>7.2834645669291342</v>
      </c>
      <c r="AG90" s="44">
        <f t="shared" si="43"/>
        <v>0.34871026220799889</v>
      </c>
      <c r="AH90" s="39" t="s">
        <v>1886</v>
      </c>
      <c r="AI90" s="39" t="s">
        <v>1887</v>
      </c>
      <c r="AJ90" s="39" t="s">
        <v>875</v>
      </c>
      <c r="AK90" s="39" t="s">
        <v>1888</v>
      </c>
      <c r="AL90" s="39" t="s">
        <v>1889</v>
      </c>
      <c r="AM90" s="39" t="s">
        <v>680</v>
      </c>
      <c r="AN90" s="39" t="s">
        <v>1890</v>
      </c>
      <c r="AO90" s="39" t="s">
        <v>1891</v>
      </c>
      <c r="AP90" s="39" t="s">
        <v>109</v>
      </c>
      <c r="AQ90" s="20" t="s">
        <v>1839</v>
      </c>
      <c r="AR90" s="97" t="s">
        <v>1838</v>
      </c>
    </row>
    <row r="91" spans="1:44" s="16" customFormat="1" ht="13.8" x14ac:dyDescent="0.3">
      <c r="A91" s="16" t="s">
        <v>121</v>
      </c>
      <c r="B91" s="143"/>
      <c r="C91" s="35" t="s">
        <v>82</v>
      </c>
      <c r="D91" s="35" t="s">
        <v>71</v>
      </c>
      <c r="E91" s="18" t="s">
        <v>1393</v>
      </c>
      <c r="F91" s="17" t="s">
        <v>180</v>
      </c>
      <c r="G91" s="17" t="s">
        <v>1485</v>
      </c>
      <c r="H91" s="80">
        <v>7331423003822</v>
      </c>
      <c r="I91" s="80">
        <v>7331423101269</v>
      </c>
      <c r="J91" s="80">
        <v>7331423201495</v>
      </c>
      <c r="K91" s="80">
        <v>17331423201492</v>
      </c>
      <c r="L91" s="38" t="s">
        <v>148</v>
      </c>
      <c r="M91" s="29" t="s">
        <v>327</v>
      </c>
      <c r="N91" s="6">
        <v>2.99</v>
      </c>
      <c r="O91" s="37">
        <v>25</v>
      </c>
      <c r="P91" s="228">
        <v>500</v>
      </c>
      <c r="Q91" s="101">
        <f t="shared" si="71"/>
        <v>1.9841603596638981E-2</v>
      </c>
      <c r="R91" s="35">
        <f t="shared" si="44"/>
        <v>6.6929133858267722</v>
      </c>
      <c r="S91" s="102">
        <v>1.5</v>
      </c>
      <c r="T91" s="103">
        <v>0.875</v>
      </c>
      <c r="U91" s="46">
        <f t="shared" si="59"/>
        <v>2.1605301694118003E-2</v>
      </c>
      <c r="V91" s="35">
        <f t="shared" si="60"/>
        <v>1.4566929133858268</v>
      </c>
      <c r="W91" s="35">
        <f t="shared" si="61"/>
        <v>0.59055118110236215</v>
      </c>
      <c r="X91" s="72">
        <f t="shared" si="62"/>
        <v>6.6929133858267713</v>
      </c>
      <c r="Y91" s="46">
        <f t="shared" si="63"/>
        <v>0.55203750451093347</v>
      </c>
      <c r="Z91" s="35">
        <f t="shared" si="64"/>
        <v>1.4566929133858268</v>
      </c>
      <c r="AA91" s="35">
        <f t="shared" si="65"/>
        <v>3.3070866141732287</v>
      </c>
      <c r="AB91" s="72">
        <f t="shared" si="66"/>
        <v>6.6929133858267713</v>
      </c>
      <c r="AC91" s="46">
        <f t="shared" si="67"/>
        <v>11.408922068067415</v>
      </c>
      <c r="AD91" s="35">
        <f t="shared" si="68"/>
        <v>12.007874015748031</v>
      </c>
      <c r="AE91" s="35">
        <f t="shared" si="69"/>
        <v>6.8897637795275584</v>
      </c>
      <c r="AF91" s="72">
        <f t="shared" si="70"/>
        <v>7.2834645669291342</v>
      </c>
      <c r="AG91" s="44">
        <f t="shared" si="43"/>
        <v>0.34871026220799889</v>
      </c>
      <c r="AH91" s="39" t="s">
        <v>1886</v>
      </c>
      <c r="AI91" s="39" t="s">
        <v>1887</v>
      </c>
      <c r="AJ91" s="39" t="s">
        <v>875</v>
      </c>
      <c r="AK91" s="39" t="s">
        <v>1888</v>
      </c>
      <c r="AL91" s="39" t="s">
        <v>1889</v>
      </c>
      <c r="AM91" s="39" t="s">
        <v>680</v>
      </c>
      <c r="AN91" s="39" t="s">
        <v>1890</v>
      </c>
      <c r="AO91" s="39" t="s">
        <v>1891</v>
      </c>
      <c r="AP91" s="39" t="s">
        <v>109</v>
      </c>
      <c r="AQ91" s="20" t="s">
        <v>1839</v>
      </c>
      <c r="AR91" s="97" t="s">
        <v>1838</v>
      </c>
    </row>
    <row r="92" spans="1:44" s="16" customFormat="1" ht="13.8" x14ac:dyDescent="0.3">
      <c r="A92" s="16" t="s">
        <v>121</v>
      </c>
      <c r="B92" s="143"/>
      <c r="C92" s="35" t="s">
        <v>82</v>
      </c>
      <c r="D92" s="35" t="s">
        <v>92</v>
      </c>
      <c r="E92" s="18" t="s">
        <v>1393</v>
      </c>
      <c r="F92" s="17" t="s">
        <v>51</v>
      </c>
      <c r="G92" s="17" t="s">
        <v>1485</v>
      </c>
      <c r="H92" s="80">
        <v>7331423002382</v>
      </c>
      <c r="I92" s="80">
        <v>7331423101252</v>
      </c>
      <c r="J92" s="80">
        <v>7331423201488</v>
      </c>
      <c r="K92" s="80">
        <v>17331423201485</v>
      </c>
      <c r="L92" s="38" t="s">
        <v>148</v>
      </c>
      <c r="M92" s="29" t="s">
        <v>327</v>
      </c>
      <c r="N92" s="6">
        <v>2.99</v>
      </c>
      <c r="O92" s="37">
        <v>25</v>
      </c>
      <c r="P92" s="228">
        <v>500</v>
      </c>
      <c r="Q92" s="101">
        <f t="shared" si="71"/>
        <v>1.9841603596638981E-2</v>
      </c>
      <c r="R92" s="35">
        <f t="shared" si="44"/>
        <v>6.6929133858267722</v>
      </c>
      <c r="S92" s="102">
        <v>1.5</v>
      </c>
      <c r="T92" s="103">
        <v>0.875</v>
      </c>
      <c r="U92" s="46">
        <f t="shared" si="59"/>
        <v>2.1605301694118003E-2</v>
      </c>
      <c r="V92" s="35">
        <f t="shared" si="60"/>
        <v>1.4566929133858268</v>
      </c>
      <c r="W92" s="35">
        <f t="shared" si="61"/>
        <v>0.59055118110236215</v>
      </c>
      <c r="X92" s="72">
        <f t="shared" si="62"/>
        <v>6.6929133858267713</v>
      </c>
      <c r="Y92" s="46">
        <f t="shared" si="63"/>
        <v>0.55203750451093347</v>
      </c>
      <c r="Z92" s="35">
        <f t="shared" si="64"/>
        <v>1.4566929133858268</v>
      </c>
      <c r="AA92" s="35">
        <f t="shared" si="65"/>
        <v>3.3070866141732287</v>
      </c>
      <c r="AB92" s="72">
        <f t="shared" si="66"/>
        <v>6.6929133858267713</v>
      </c>
      <c r="AC92" s="46">
        <f t="shared" si="67"/>
        <v>11.408922068067415</v>
      </c>
      <c r="AD92" s="35">
        <f t="shared" si="68"/>
        <v>12.007874015748031</v>
      </c>
      <c r="AE92" s="35">
        <f t="shared" si="69"/>
        <v>6.8897637795275584</v>
      </c>
      <c r="AF92" s="72">
        <f t="shared" si="70"/>
        <v>7.2834645669291342</v>
      </c>
      <c r="AG92" s="44">
        <f t="shared" si="43"/>
        <v>0.34871026220799889</v>
      </c>
      <c r="AH92" s="39" t="s">
        <v>1886</v>
      </c>
      <c r="AI92" s="39" t="s">
        <v>1887</v>
      </c>
      <c r="AJ92" s="39" t="s">
        <v>875</v>
      </c>
      <c r="AK92" s="39" t="s">
        <v>1888</v>
      </c>
      <c r="AL92" s="39" t="s">
        <v>1889</v>
      </c>
      <c r="AM92" s="39" t="s">
        <v>680</v>
      </c>
      <c r="AN92" s="39" t="s">
        <v>1890</v>
      </c>
      <c r="AO92" s="39" t="s">
        <v>1891</v>
      </c>
      <c r="AP92" s="39" t="s">
        <v>109</v>
      </c>
      <c r="AQ92" s="20" t="s">
        <v>1839</v>
      </c>
      <c r="AR92" s="97" t="s">
        <v>1838</v>
      </c>
    </row>
    <row r="93" spans="1:44" s="16" customFormat="1" ht="13.8" x14ac:dyDescent="0.3">
      <c r="A93" s="16" t="s">
        <v>121</v>
      </c>
      <c r="B93" s="143"/>
      <c r="C93" s="35" t="s">
        <v>82</v>
      </c>
      <c r="D93" s="35" t="s">
        <v>91</v>
      </c>
      <c r="E93" s="18" t="s">
        <v>1393</v>
      </c>
      <c r="F93" s="17" t="s">
        <v>52</v>
      </c>
      <c r="G93" s="17" t="s">
        <v>1485</v>
      </c>
      <c r="H93" s="80">
        <v>7331423002375</v>
      </c>
      <c r="I93" s="80">
        <v>7331423101245</v>
      </c>
      <c r="J93" s="80">
        <v>7331423201471</v>
      </c>
      <c r="K93" s="80">
        <v>17331423201478</v>
      </c>
      <c r="L93" s="38" t="s">
        <v>148</v>
      </c>
      <c r="M93" s="29" t="s">
        <v>327</v>
      </c>
      <c r="N93" s="6">
        <v>2.99</v>
      </c>
      <c r="O93" s="37">
        <v>25</v>
      </c>
      <c r="P93" s="228">
        <v>500</v>
      </c>
      <c r="Q93" s="101">
        <f t="shared" si="71"/>
        <v>1.9841603596638981E-2</v>
      </c>
      <c r="R93" s="35">
        <f t="shared" si="44"/>
        <v>6.6929133858267722</v>
      </c>
      <c r="S93" s="102">
        <v>1.5</v>
      </c>
      <c r="T93" s="103">
        <v>0.875</v>
      </c>
      <c r="U93" s="46">
        <f t="shared" si="59"/>
        <v>2.1605301694118003E-2</v>
      </c>
      <c r="V93" s="35">
        <f t="shared" si="60"/>
        <v>1.4566929133858268</v>
      </c>
      <c r="W93" s="35">
        <f t="shared" si="61"/>
        <v>0.59055118110236215</v>
      </c>
      <c r="X93" s="72">
        <f t="shared" si="62"/>
        <v>6.6929133858267713</v>
      </c>
      <c r="Y93" s="46">
        <f t="shared" si="63"/>
        <v>0.55203750451093347</v>
      </c>
      <c r="Z93" s="35">
        <f t="shared" si="64"/>
        <v>1.4566929133858268</v>
      </c>
      <c r="AA93" s="35">
        <f t="shared" si="65"/>
        <v>3.3070866141732287</v>
      </c>
      <c r="AB93" s="72">
        <f t="shared" si="66"/>
        <v>6.6929133858267713</v>
      </c>
      <c r="AC93" s="46">
        <f t="shared" si="67"/>
        <v>11.408922068067415</v>
      </c>
      <c r="AD93" s="35">
        <f t="shared" si="68"/>
        <v>12.007874015748031</v>
      </c>
      <c r="AE93" s="35">
        <f t="shared" si="69"/>
        <v>6.8897637795275584</v>
      </c>
      <c r="AF93" s="72">
        <f t="shared" si="70"/>
        <v>7.2834645669291342</v>
      </c>
      <c r="AG93" s="44">
        <f t="shared" si="43"/>
        <v>0.34871026220799889</v>
      </c>
      <c r="AH93" s="39" t="s">
        <v>1886</v>
      </c>
      <c r="AI93" s="39" t="s">
        <v>1887</v>
      </c>
      <c r="AJ93" s="39" t="s">
        <v>875</v>
      </c>
      <c r="AK93" s="39" t="s">
        <v>1888</v>
      </c>
      <c r="AL93" s="39" t="s">
        <v>1889</v>
      </c>
      <c r="AM93" s="39" t="s">
        <v>680</v>
      </c>
      <c r="AN93" s="39" t="s">
        <v>1890</v>
      </c>
      <c r="AO93" s="39" t="s">
        <v>1891</v>
      </c>
      <c r="AP93" s="39" t="s">
        <v>109</v>
      </c>
      <c r="AQ93" s="20" t="s">
        <v>1839</v>
      </c>
      <c r="AR93" s="97" t="s">
        <v>1838</v>
      </c>
    </row>
    <row r="94" spans="1:44" s="16" customFormat="1" ht="13.8" x14ac:dyDescent="0.3">
      <c r="A94" s="16" t="s">
        <v>121</v>
      </c>
      <c r="B94" s="143"/>
      <c r="C94" s="35" t="s">
        <v>82</v>
      </c>
      <c r="D94" s="35" t="s">
        <v>87</v>
      </c>
      <c r="E94" s="18" t="s">
        <v>1393</v>
      </c>
      <c r="F94" s="17" t="s">
        <v>54</v>
      </c>
      <c r="G94" s="17" t="s">
        <v>1485</v>
      </c>
      <c r="H94" s="80">
        <v>7331423002290</v>
      </c>
      <c r="I94" s="80">
        <v>7331423101207</v>
      </c>
      <c r="J94" s="80">
        <v>7331423201433</v>
      </c>
      <c r="K94" s="80">
        <v>17331423201430</v>
      </c>
      <c r="L94" s="29" t="s">
        <v>148</v>
      </c>
      <c r="M94" s="29" t="s">
        <v>327</v>
      </c>
      <c r="N94" s="6">
        <v>2.99</v>
      </c>
      <c r="O94" s="37">
        <v>25</v>
      </c>
      <c r="P94" s="228">
        <v>500</v>
      </c>
      <c r="Q94" s="101">
        <f t="shared" si="71"/>
        <v>1.9841603596638981E-2</v>
      </c>
      <c r="R94" s="35">
        <f t="shared" si="44"/>
        <v>6.6929133858267722</v>
      </c>
      <c r="S94" s="102">
        <v>1.5</v>
      </c>
      <c r="T94" s="103">
        <v>0.875</v>
      </c>
      <c r="U94" s="46">
        <f t="shared" si="59"/>
        <v>2.1605301694118003E-2</v>
      </c>
      <c r="V94" s="35">
        <f t="shared" si="60"/>
        <v>1.4566929133858268</v>
      </c>
      <c r="W94" s="35">
        <f t="shared" si="61"/>
        <v>0.59055118110236215</v>
      </c>
      <c r="X94" s="72">
        <f t="shared" si="62"/>
        <v>6.6929133858267713</v>
      </c>
      <c r="Y94" s="46">
        <f t="shared" si="63"/>
        <v>0.55203750451093347</v>
      </c>
      <c r="Z94" s="35">
        <f t="shared" si="64"/>
        <v>1.4566929133858268</v>
      </c>
      <c r="AA94" s="35">
        <f t="shared" si="65"/>
        <v>3.3070866141732287</v>
      </c>
      <c r="AB94" s="72">
        <f t="shared" si="66"/>
        <v>6.6929133858267713</v>
      </c>
      <c r="AC94" s="46">
        <f t="shared" si="67"/>
        <v>11.408922068067415</v>
      </c>
      <c r="AD94" s="35">
        <f t="shared" si="68"/>
        <v>12.007874015748031</v>
      </c>
      <c r="AE94" s="35">
        <f t="shared" si="69"/>
        <v>6.8897637795275584</v>
      </c>
      <c r="AF94" s="72">
        <f t="shared" si="70"/>
        <v>7.2834645669291342</v>
      </c>
      <c r="AG94" s="44">
        <f t="shared" si="43"/>
        <v>0.34871026220799889</v>
      </c>
      <c r="AH94" s="39" t="s">
        <v>1886</v>
      </c>
      <c r="AI94" s="39" t="s">
        <v>1887</v>
      </c>
      <c r="AJ94" s="39" t="s">
        <v>875</v>
      </c>
      <c r="AK94" s="39" t="s">
        <v>1888</v>
      </c>
      <c r="AL94" s="39" t="s">
        <v>1889</v>
      </c>
      <c r="AM94" s="39" t="s">
        <v>680</v>
      </c>
      <c r="AN94" s="39" t="s">
        <v>1890</v>
      </c>
      <c r="AO94" s="39" t="s">
        <v>1891</v>
      </c>
      <c r="AP94" s="39" t="s">
        <v>109</v>
      </c>
      <c r="AQ94" s="20" t="s">
        <v>1839</v>
      </c>
      <c r="AR94" s="97" t="s">
        <v>1838</v>
      </c>
    </row>
    <row r="95" spans="1:44" s="20" customFormat="1" ht="13.8" x14ac:dyDescent="0.3">
      <c r="A95" s="20" t="s">
        <v>121</v>
      </c>
      <c r="B95" s="141"/>
      <c r="C95" s="35" t="s">
        <v>82</v>
      </c>
      <c r="D95" s="451" t="s">
        <v>73</v>
      </c>
      <c r="E95" s="36" t="s">
        <v>1393</v>
      </c>
      <c r="F95" s="35" t="s">
        <v>5</v>
      </c>
      <c r="G95" s="35" t="s">
        <v>1485</v>
      </c>
      <c r="H95" s="80">
        <v>7331423002351</v>
      </c>
      <c r="I95" s="80">
        <v>7331423002351</v>
      </c>
      <c r="J95" s="80">
        <v>7331423002351</v>
      </c>
      <c r="K95" s="80" t="s">
        <v>66</v>
      </c>
      <c r="L95" s="38" t="s">
        <v>148</v>
      </c>
      <c r="M95" s="38" t="s">
        <v>327</v>
      </c>
      <c r="N95" s="7">
        <v>2.99</v>
      </c>
      <c r="O95" s="37">
        <v>25</v>
      </c>
      <c r="P95" s="228">
        <v>500</v>
      </c>
      <c r="Q95" s="101">
        <f t="shared" si="71"/>
        <v>1.9841603596638981E-2</v>
      </c>
      <c r="R95" s="35">
        <f t="shared" si="44"/>
        <v>6.6929133858267722</v>
      </c>
      <c r="S95" s="102">
        <v>1.5</v>
      </c>
      <c r="T95" s="103">
        <v>0.875</v>
      </c>
      <c r="U95" s="46">
        <f t="shared" si="59"/>
        <v>2.1605301694118003E-2</v>
      </c>
      <c r="V95" s="35">
        <f t="shared" si="60"/>
        <v>1.4566929133858268</v>
      </c>
      <c r="W95" s="35">
        <f t="shared" si="61"/>
        <v>0.59055118110236215</v>
      </c>
      <c r="X95" s="72">
        <f t="shared" si="62"/>
        <v>6.6929133858267713</v>
      </c>
      <c r="Y95" s="46">
        <f t="shared" si="63"/>
        <v>0.55203750451093347</v>
      </c>
      <c r="Z95" s="35">
        <f t="shared" si="64"/>
        <v>1.4566929133858268</v>
      </c>
      <c r="AA95" s="35">
        <f t="shared" si="65"/>
        <v>3.3070866141732287</v>
      </c>
      <c r="AB95" s="72">
        <f t="shared" si="66"/>
        <v>6.6929133858267713</v>
      </c>
      <c r="AC95" s="46">
        <f t="shared" si="67"/>
        <v>11.408922068067415</v>
      </c>
      <c r="AD95" s="35">
        <f t="shared" si="68"/>
        <v>12.007874015748031</v>
      </c>
      <c r="AE95" s="35">
        <f t="shared" si="69"/>
        <v>6.8897637795275584</v>
      </c>
      <c r="AF95" s="72">
        <f t="shared" si="70"/>
        <v>7.2834645669291342</v>
      </c>
      <c r="AG95" s="46">
        <f t="shared" si="43"/>
        <v>0.34871026220799889</v>
      </c>
      <c r="AH95" s="39" t="s">
        <v>1886</v>
      </c>
      <c r="AI95" s="39" t="s">
        <v>1887</v>
      </c>
      <c r="AJ95" s="39" t="s">
        <v>875</v>
      </c>
      <c r="AK95" s="39" t="s">
        <v>1888</v>
      </c>
      <c r="AL95" s="39" t="s">
        <v>1889</v>
      </c>
      <c r="AM95" s="39" t="s">
        <v>680</v>
      </c>
      <c r="AN95" s="39" t="s">
        <v>1890</v>
      </c>
      <c r="AO95" s="39" t="s">
        <v>1891</v>
      </c>
      <c r="AP95" s="39" t="s">
        <v>109</v>
      </c>
      <c r="AQ95" s="20" t="s">
        <v>1839</v>
      </c>
      <c r="AR95" s="97" t="s">
        <v>1838</v>
      </c>
    </row>
    <row r="96" spans="1:44" s="16" customFormat="1" ht="13.8" x14ac:dyDescent="0.3">
      <c r="A96" s="16" t="s">
        <v>121</v>
      </c>
      <c r="B96" s="143"/>
      <c r="C96" s="35" t="s">
        <v>82</v>
      </c>
      <c r="D96" s="35" t="s">
        <v>1747</v>
      </c>
      <c r="E96" s="18" t="s">
        <v>1393</v>
      </c>
      <c r="F96" s="24" t="s">
        <v>77</v>
      </c>
      <c r="G96" s="17" t="s">
        <v>1485</v>
      </c>
      <c r="H96" s="80">
        <v>7331423002566</v>
      </c>
      <c r="I96" s="80">
        <v>7331423101139</v>
      </c>
      <c r="J96" s="80">
        <v>7331423201365</v>
      </c>
      <c r="K96" s="80">
        <v>17331423201362</v>
      </c>
      <c r="L96" s="29" t="s">
        <v>148</v>
      </c>
      <c r="M96" s="29" t="s">
        <v>327</v>
      </c>
      <c r="N96" s="6">
        <v>2.99</v>
      </c>
      <c r="O96" s="37">
        <v>25</v>
      </c>
      <c r="P96" s="228">
        <v>500</v>
      </c>
      <c r="Q96" s="101">
        <f t="shared" si="71"/>
        <v>1.9841603596638981E-2</v>
      </c>
      <c r="R96" s="35">
        <f t="shared" si="44"/>
        <v>6.6929133858267722</v>
      </c>
      <c r="S96" s="102">
        <v>1.5</v>
      </c>
      <c r="T96" s="103">
        <v>0.875</v>
      </c>
      <c r="U96" s="46">
        <f t="shared" si="59"/>
        <v>2.1605301694118003E-2</v>
      </c>
      <c r="V96" s="35">
        <f t="shared" si="60"/>
        <v>1.4566929133858268</v>
      </c>
      <c r="W96" s="35">
        <f t="shared" si="61"/>
        <v>0.59055118110236215</v>
      </c>
      <c r="X96" s="72">
        <f t="shared" si="62"/>
        <v>6.6929133858267713</v>
      </c>
      <c r="Y96" s="46">
        <f t="shared" si="63"/>
        <v>0.55203750451093347</v>
      </c>
      <c r="Z96" s="35">
        <f t="shared" si="64"/>
        <v>1.4566929133858268</v>
      </c>
      <c r="AA96" s="35">
        <f t="shared" si="65"/>
        <v>3.3070866141732287</v>
      </c>
      <c r="AB96" s="72">
        <f t="shared" si="66"/>
        <v>6.6929133858267713</v>
      </c>
      <c r="AC96" s="46">
        <f t="shared" si="67"/>
        <v>11.408922068067415</v>
      </c>
      <c r="AD96" s="35">
        <f t="shared" si="68"/>
        <v>12.007874015748031</v>
      </c>
      <c r="AE96" s="35">
        <f t="shared" si="69"/>
        <v>6.8897637795275584</v>
      </c>
      <c r="AF96" s="72">
        <f t="shared" si="70"/>
        <v>7.2834645669291342</v>
      </c>
      <c r="AG96" s="44">
        <f t="shared" si="43"/>
        <v>0.34871026220799889</v>
      </c>
      <c r="AH96" s="39" t="s">
        <v>1886</v>
      </c>
      <c r="AI96" s="39" t="s">
        <v>1887</v>
      </c>
      <c r="AJ96" s="39" t="s">
        <v>875</v>
      </c>
      <c r="AK96" s="39" t="s">
        <v>1888</v>
      </c>
      <c r="AL96" s="39" t="s">
        <v>1889</v>
      </c>
      <c r="AM96" s="39" t="s">
        <v>680</v>
      </c>
      <c r="AN96" s="39" t="s">
        <v>1890</v>
      </c>
      <c r="AO96" s="39" t="s">
        <v>1891</v>
      </c>
      <c r="AP96" s="39" t="s">
        <v>109</v>
      </c>
      <c r="AQ96" s="20" t="s">
        <v>1839</v>
      </c>
      <c r="AR96" s="97" t="s">
        <v>1838</v>
      </c>
    </row>
    <row r="97" spans="1:44" s="16" customFormat="1" ht="13.8" x14ac:dyDescent="0.3">
      <c r="A97" s="16" t="s">
        <v>121</v>
      </c>
      <c r="B97" s="143"/>
      <c r="C97" s="35" t="s">
        <v>82</v>
      </c>
      <c r="D97" s="35" t="s">
        <v>1748</v>
      </c>
      <c r="E97" s="18" t="s">
        <v>1393</v>
      </c>
      <c r="F97" s="24" t="s">
        <v>78</v>
      </c>
      <c r="G97" s="17" t="s">
        <v>1485</v>
      </c>
      <c r="H97" s="80">
        <v>7331423002542</v>
      </c>
      <c r="I97" s="80">
        <v>7331423101115</v>
      </c>
      <c r="J97" s="80">
        <v>7331423201341</v>
      </c>
      <c r="K97" s="80">
        <v>17331423201348</v>
      </c>
      <c r="L97" s="29" t="s">
        <v>148</v>
      </c>
      <c r="M97" s="29" t="s">
        <v>327</v>
      </c>
      <c r="N97" s="6">
        <v>2.99</v>
      </c>
      <c r="O97" s="37">
        <v>25</v>
      </c>
      <c r="P97" s="228">
        <v>500</v>
      </c>
      <c r="Q97" s="101">
        <f t="shared" si="71"/>
        <v>1.9841603596638981E-2</v>
      </c>
      <c r="R97" s="35">
        <f t="shared" si="44"/>
        <v>6.6929133858267722</v>
      </c>
      <c r="S97" s="102">
        <v>1.5</v>
      </c>
      <c r="T97" s="103">
        <v>0.875</v>
      </c>
      <c r="U97" s="46">
        <f t="shared" si="59"/>
        <v>2.1605301694118003E-2</v>
      </c>
      <c r="V97" s="35">
        <f t="shared" si="60"/>
        <v>1.4566929133858268</v>
      </c>
      <c r="W97" s="35">
        <f t="shared" si="61"/>
        <v>0.59055118110236215</v>
      </c>
      <c r="X97" s="72">
        <f t="shared" si="62"/>
        <v>6.6929133858267713</v>
      </c>
      <c r="Y97" s="46">
        <f t="shared" si="63"/>
        <v>0.55203750451093347</v>
      </c>
      <c r="Z97" s="35">
        <f t="shared" si="64"/>
        <v>1.4566929133858268</v>
      </c>
      <c r="AA97" s="35">
        <f t="shared" si="65"/>
        <v>3.3070866141732287</v>
      </c>
      <c r="AB97" s="72">
        <f t="shared" si="66"/>
        <v>6.6929133858267713</v>
      </c>
      <c r="AC97" s="46">
        <f t="shared" si="67"/>
        <v>11.408922068067415</v>
      </c>
      <c r="AD97" s="35">
        <f t="shared" si="68"/>
        <v>12.007874015748031</v>
      </c>
      <c r="AE97" s="35">
        <f t="shared" si="69"/>
        <v>6.8897637795275584</v>
      </c>
      <c r="AF97" s="72">
        <f t="shared" si="70"/>
        <v>7.2834645669291342</v>
      </c>
      <c r="AG97" s="44">
        <f t="shared" si="43"/>
        <v>0.34871026220799889</v>
      </c>
      <c r="AH97" s="39" t="s">
        <v>1886</v>
      </c>
      <c r="AI97" s="39" t="s">
        <v>1887</v>
      </c>
      <c r="AJ97" s="39" t="s">
        <v>875</v>
      </c>
      <c r="AK97" s="39" t="s">
        <v>1888</v>
      </c>
      <c r="AL97" s="39" t="s">
        <v>1889</v>
      </c>
      <c r="AM97" s="39" t="s">
        <v>680</v>
      </c>
      <c r="AN97" s="39" t="s">
        <v>1890</v>
      </c>
      <c r="AO97" s="39" t="s">
        <v>1891</v>
      </c>
      <c r="AP97" s="39" t="s">
        <v>109</v>
      </c>
      <c r="AQ97" s="20" t="s">
        <v>1839</v>
      </c>
      <c r="AR97" s="97" t="s">
        <v>1838</v>
      </c>
    </row>
    <row r="98" spans="1:44" s="16" customFormat="1" ht="13.8" x14ac:dyDescent="0.3">
      <c r="A98" s="16" t="s">
        <v>121</v>
      </c>
      <c r="B98" s="143"/>
      <c r="C98" s="35" t="s">
        <v>82</v>
      </c>
      <c r="D98" s="35" t="s">
        <v>1749</v>
      </c>
      <c r="E98" s="18" t="s">
        <v>1393</v>
      </c>
      <c r="F98" s="24" t="s">
        <v>79</v>
      </c>
      <c r="G98" s="17" t="s">
        <v>1485</v>
      </c>
      <c r="H98" s="80">
        <v>7331423002559</v>
      </c>
      <c r="I98" s="80">
        <v>7331423101122</v>
      </c>
      <c r="J98" s="80">
        <v>7331423201358</v>
      </c>
      <c r="K98" s="80">
        <v>17331423201355</v>
      </c>
      <c r="L98" s="29" t="s">
        <v>148</v>
      </c>
      <c r="M98" s="29" t="s">
        <v>327</v>
      </c>
      <c r="N98" s="6">
        <v>2.99</v>
      </c>
      <c r="O98" s="37">
        <v>25</v>
      </c>
      <c r="P98" s="228">
        <v>500</v>
      </c>
      <c r="Q98" s="101">
        <f t="shared" si="71"/>
        <v>1.9841603596638981E-2</v>
      </c>
      <c r="R98" s="35">
        <f t="shared" si="44"/>
        <v>6.6929133858267722</v>
      </c>
      <c r="S98" s="102">
        <v>1.5</v>
      </c>
      <c r="T98" s="103">
        <v>0.875</v>
      </c>
      <c r="U98" s="46">
        <f t="shared" si="59"/>
        <v>2.1605301694118003E-2</v>
      </c>
      <c r="V98" s="35">
        <f t="shared" si="60"/>
        <v>1.4566929133858268</v>
      </c>
      <c r="W98" s="35">
        <f t="shared" si="61"/>
        <v>0.59055118110236215</v>
      </c>
      <c r="X98" s="72">
        <f t="shared" si="62"/>
        <v>6.6929133858267713</v>
      </c>
      <c r="Y98" s="46">
        <f t="shared" si="63"/>
        <v>0.55203750451093347</v>
      </c>
      <c r="Z98" s="35">
        <f t="shared" si="64"/>
        <v>1.4566929133858268</v>
      </c>
      <c r="AA98" s="35">
        <f t="shared" si="65"/>
        <v>3.3070866141732287</v>
      </c>
      <c r="AB98" s="72">
        <f t="shared" si="66"/>
        <v>6.6929133858267713</v>
      </c>
      <c r="AC98" s="46">
        <f t="shared" si="67"/>
        <v>11.408922068067415</v>
      </c>
      <c r="AD98" s="35">
        <f t="shared" si="68"/>
        <v>12.007874015748031</v>
      </c>
      <c r="AE98" s="35">
        <f t="shared" si="69"/>
        <v>6.8897637795275584</v>
      </c>
      <c r="AF98" s="72">
        <f t="shared" si="70"/>
        <v>7.2834645669291342</v>
      </c>
      <c r="AG98" s="44">
        <f t="shared" si="43"/>
        <v>0.34871026220799889</v>
      </c>
      <c r="AH98" s="39" t="s">
        <v>1886</v>
      </c>
      <c r="AI98" s="39" t="s">
        <v>1887</v>
      </c>
      <c r="AJ98" s="39" t="s">
        <v>875</v>
      </c>
      <c r="AK98" s="39" t="s">
        <v>1888</v>
      </c>
      <c r="AL98" s="39" t="s">
        <v>1889</v>
      </c>
      <c r="AM98" s="39" t="s">
        <v>680</v>
      </c>
      <c r="AN98" s="39" t="s">
        <v>1890</v>
      </c>
      <c r="AO98" s="39" t="s">
        <v>1891</v>
      </c>
      <c r="AP98" s="39" t="s">
        <v>109</v>
      </c>
      <c r="AQ98" s="20" t="s">
        <v>1839</v>
      </c>
      <c r="AR98" s="97" t="s">
        <v>1838</v>
      </c>
    </row>
    <row r="99" spans="1:44" s="16" customFormat="1" ht="13.8" x14ac:dyDescent="0.3">
      <c r="A99" s="16" t="s">
        <v>121</v>
      </c>
      <c r="B99" s="143"/>
      <c r="C99" s="35" t="s">
        <v>82</v>
      </c>
      <c r="D99" s="35" t="s">
        <v>74</v>
      </c>
      <c r="E99" s="18" t="s">
        <v>1393</v>
      </c>
      <c r="F99" s="24" t="s">
        <v>80</v>
      </c>
      <c r="G99" s="17" t="s">
        <v>1485</v>
      </c>
      <c r="H99" s="80">
        <v>7331423002573</v>
      </c>
      <c r="I99" s="80">
        <v>7331423101146</v>
      </c>
      <c r="J99" s="80">
        <v>7331423201372</v>
      </c>
      <c r="K99" s="80">
        <v>17331423201379</v>
      </c>
      <c r="L99" s="29" t="s">
        <v>148</v>
      </c>
      <c r="M99" s="29" t="s">
        <v>327</v>
      </c>
      <c r="N99" s="6">
        <v>2.99</v>
      </c>
      <c r="O99" s="37">
        <v>25</v>
      </c>
      <c r="P99" s="228">
        <v>500</v>
      </c>
      <c r="Q99" s="101">
        <f t="shared" si="71"/>
        <v>1.9841603596638981E-2</v>
      </c>
      <c r="R99" s="35">
        <f t="shared" si="44"/>
        <v>6.6929133858267722</v>
      </c>
      <c r="S99" s="102">
        <v>1.5</v>
      </c>
      <c r="T99" s="103">
        <v>0.875</v>
      </c>
      <c r="U99" s="46">
        <f t="shared" si="59"/>
        <v>2.1605301694118003E-2</v>
      </c>
      <c r="V99" s="35">
        <f t="shared" si="60"/>
        <v>1.4566929133858268</v>
      </c>
      <c r="W99" s="35">
        <f t="shared" si="61"/>
        <v>0.59055118110236215</v>
      </c>
      <c r="X99" s="72">
        <f t="shared" si="62"/>
        <v>6.6929133858267713</v>
      </c>
      <c r="Y99" s="46">
        <f t="shared" si="63"/>
        <v>0.55203750451093347</v>
      </c>
      <c r="Z99" s="35">
        <f t="shared" si="64"/>
        <v>1.4566929133858268</v>
      </c>
      <c r="AA99" s="35">
        <f t="shared" si="65"/>
        <v>3.3070866141732287</v>
      </c>
      <c r="AB99" s="72">
        <f t="shared" si="66"/>
        <v>6.6929133858267713</v>
      </c>
      <c r="AC99" s="46">
        <f t="shared" si="67"/>
        <v>11.408922068067415</v>
      </c>
      <c r="AD99" s="35">
        <f t="shared" si="68"/>
        <v>12.007874015748031</v>
      </c>
      <c r="AE99" s="35">
        <f t="shared" si="69"/>
        <v>6.8897637795275584</v>
      </c>
      <c r="AF99" s="72">
        <f t="shared" si="70"/>
        <v>7.2834645669291342</v>
      </c>
      <c r="AG99" s="44">
        <f t="shared" si="43"/>
        <v>0.34871026220799889</v>
      </c>
      <c r="AH99" s="39" t="s">
        <v>1886</v>
      </c>
      <c r="AI99" s="39" t="s">
        <v>1887</v>
      </c>
      <c r="AJ99" s="39" t="s">
        <v>875</v>
      </c>
      <c r="AK99" s="39" t="s">
        <v>1888</v>
      </c>
      <c r="AL99" s="39" t="s">
        <v>1889</v>
      </c>
      <c r="AM99" s="39" t="s">
        <v>680</v>
      </c>
      <c r="AN99" s="39" t="s">
        <v>1890</v>
      </c>
      <c r="AO99" s="39" t="s">
        <v>1891</v>
      </c>
      <c r="AP99" s="39" t="s">
        <v>109</v>
      </c>
      <c r="AQ99" s="20" t="s">
        <v>1839</v>
      </c>
      <c r="AR99" s="97" t="s">
        <v>1838</v>
      </c>
    </row>
    <row r="100" spans="1:44" s="16" customFormat="1" ht="13.8" x14ac:dyDescent="0.3">
      <c r="A100" s="16" t="s">
        <v>121</v>
      </c>
      <c r="B100" s="143"/>
      <c r="C100" s="35" t="s">
        <v>82</v>
      </c>
      <c r="D100" s="35" t="s">
        <v>75</v>
      </c>
      <c r="E100" s="18" t="s">
        <v>1393</v>
      </c>
      <c r="F100" s="17" t="s">
        <v>83</v>
      </c>
      <c r="G100" s="17" t="s">
        <v>1485</v>
      </c>
      <c r="H100" s="80">
        <v>7331423002344</v>
      </c>
      <c r="I100" s="80">
        <v>7331423101191</v>
      </c>
      <c r="J100" s="80">
        <v>7331423201426</v>
      </c>
      <c r="K100" s="80">
        <v>17331423201423</v>
      </c>
      <c r="L100" s="38" t="s">
        <v>148</v>
      </c>
      <c r="M100" s="29" t="s">
        <v>327</v>
      </c>
      <c r="N100" s="6">
        <v>2.99</v>
      </c>
      <c r="O100" s="37">
        <v>25</v>
      </c>
      <c r="P100" s="228">
        <v>500</v>
      </c>
      <c r="Q100" s="101">
        <f t="shared" si="71"/>
        <v>1.9841603596638981E-2</v>
      </c>
      <c r="R100" s="35">
        <f t="shared" si="44"/>
        <v>6.6929133858267722</v>
      </c>
      <c r="S100" s="102">
        <v>1.5</v>
      </c>
      <c r="T100" s="103">
        <v>0.875</v>
      </c>
      <c r="U100" s="46">
        <f t="shared" si="59"/>
        <v>2.1605301694118003E-2</v>
      </c>
      <c r="V100" s="35">
        <f t="shared" si="60"/>
        <v>1.4566929133858268</v>
      </c>
      <c r="W100" s="35">
        <f t="shared" si="61"/>
        <v>0.59055118110236215</v>
      </c>
      <c r="X100" s="72">
        <f t="shared" si="62"/>
        <v>6.6929133858267713</v>
      </c>
      <c r="Y100" s="46">
        <f t="shared" si="63"/>
        <v>0.55203750451093347</v>
      </c>
      <c r="Z100" s="35">
        <f t="shared" si="64"/>
        <v>1.4566929133858268</v>
      </c>
      <c r="AA100" s="35">
        <f t="shared" si="65"/>
        <v>3.3070866141732287</v>
      </c>
      <c r="AB100" s="72">
        <f t="shared" si="66"/>
        <v>6.6929133858267713</v>
      </c>
      <c r="AC100" s="46">
        <f t="shared" si="67"/>
        <v>11.408922068067415</v>
      </c>
      <c r="AD100" s="35">
        <f t="shared" si="68"/>
        <v>12.007874015748031</v>
      </c>
      <c r="AE100" s="35">
        <f t="shared" si="69"/>
        <v>6.8897637795275584</v>
      </c>
      <c r="AF100" s="72">
        <f t="shared" si="70"/>
        <v>7.2834645669291342</v>
      </c>
      <c r="AG100" s="44">
        <f t="shared" si="43"/>
        <v>0.34871026220799889</v>
      </c>
      <c r="AH100" s="39" t="s">
        <v>1886</v>
      </c>
      <c r="AI100" s="39" t="s">
        <v>1887</v>
      </c>
      <c r="AJ100" s="39" t="s">
        <v>875</v>
      </c>
      <c r="AK100" s="39" t="s">
        <v>1888</v>
      </c>
      <c r="AL100" s="39" t="s">
        <v>1889</v>
      </c>
      <c r="AM100" s="39" t="s">
        <v>680</v>
      </c>
      <c r="AN100" s="39" t="s">
        <v>1890</v>
      </c>
      <c r="AO100" s="39" t="s">
        <v>1891</v>
      </c>
      <c r="AP100" s="39" t="s">
        <v>109</v>
      </c>
      <c r="AQ100" s="20" t="s">
        <v>1839</v>
      </c>
      <c r="AR100" s="97" t="s">
        <v>1838</v>
      </c>
    </row>
    <row r="101" spans="1:44" s="16" customFormat="1" ht="13.8" x14ac:dyDescent="0.3">
      <c r="A101" s="16" t="s">
        <v>121</v>
      </c>
      <c r="B101" s="143"/>
      <c r="C101" s="35" t="s">
        <v>82</v>
      </c>
      <c r="D101" s="35" t="s">
        <v>348</v>
      </c>
      <c r="E101" s="18" t="s">
        <v>1393</v>
      </c>
      <c r="F101" s="17" t="s">
        <v>349</v>
      </c>
      <c r="G101" s="17" t="s">
        <v>1485</v>
      </c>
      <c r="H101" s="80">
        <v>7331423005963</v>
      </c>
      <c r="I101" s="80">
        <v>7331423101184</v>
      </c>
      <c r="J101" s="80">
        <v>7331423201419</v>
      </c>
      <c r="K101" s="80">
        <v>17331423201416</v>
      </c>
      <c r="L101" s="38" t="s">
        <v>148</v>
      </c>
      <c r="M101" s="29" t="s">
        <v>327</v>
      </c>
      <c r="N101" s="6">
        <v>2.99</v>
      </c>
      <c r="O101" s="37">
        <v>25</v>
      </c>
      <c r="P101" s="228">
        <v>500</v>
      </c>
      <c r="Q101" s="101">
        <f t="shared" si="71"/>
        <v>1.9841603596638981E-2</v>
      </c>
      <c r="R101" s="35">
        <f t="shared" si="44"/>
        <v>6.6929133858267722</v>
      </c>
      <c r="S101" s="102">
        <v>1.5</v>
      </c>
      <c r="T101" s="103">
        <v>0.875</v>
      </c>
      <c r="U101" s="46">
        <f t="shared" si="59"/>
        <v>2.1605301694118003E-2</v>
      </c>
      <c r="V101" s="35">
        <f t="shared" si="60"/>
        <v>1.4566929133858268</v>
      </c>
      <c r="W101" s="35">
        <f t="shared" si="61"/>
        <v>0.59055118110236215</v>
      </c>
      <c r="X101" s="72">
        <f t="shared" si="62"/>
        <v>6.6929133858267713</v>
      </c>
      <c r="Y101" s="46">
        <f t="shared" si="63"/>
        <v>0.55203750451093347</v>
      </c>
      <c r="Z101" s="35">
        <f t="shared" si="64"/>
        <v>1.4566929133858268</v>
      </c>
      <c r="AA101" s="35">
        <f t="shared" si="65"/>
        <v>3.3070866141732287</v>
      </c>
      <c r="AB101" s="72">
        <f t="shared" si="66"/>
        <v>6.6929133858267713</v>
      </c>
      <c r="AC101" s="46">
        <f t="shared" si="67"/>
        <v>11.408922068067415</v>
      </c>
      <c r="AD101" s="35">
        <f t="shared" si="68"/>
        <v>12.007874015748031</v>
      </c>
      <c r="AE101" s="35">
        <f t="shared" si="69"/>
        <v>6.8897637795275584</v>
      </c>
      <c r="AF101" s="72">
        <f t="shared" si="70"/>
        <v>7.2834645669291342</v>
      </c>
      <c r="AG101" s="44">
        <f t="shared" si="43"/>
        <v>0.34871026220799889</v>
      </c>
      <c r="AH101" s="39" t="s">
        <v>1886</v>
      </c>
      <c r="AI101" s="39" t="s">
        <v>1887</v>
      </c>
      <c r="AJ101" s="39" t="s">
        <v>875</v>
      </c>
      <c r="AK101" s="39" t="s">
        <v>1888</v>
      </c>
      <c r="AL101" s="39" t="s">
        <v>1889</v>
      </c>
      <c r="AM101" s="39" t="s">
        <v>680</v>
      </c>
      <c r="AN101" s="39" t="s">
        <v>1890</v>
      </c>
      <c r="AO101" s="39" t="s">
        <v>1891</v>
      </c>
      <c r="AP101" s="39" t="s">
        <v>109</v>
      </c>
      <c r="AQ101" s="20" t="s">
        <v>1839</v>
      </c>
      <c r="AR101" s="97" t="s">
        <v>1838</v>
      </c>
    </row>
    <row r="102" spans="1:44" s="16" customFormat="1" ht="13.8" x14ac:dyDescent="0.3">
      <c r="A102" s="16" t="s">
        <v>121</v>
      </c>
      <c r="B102" s="143"/>
      <c r="C102" s="35" t="s">
        <v>82</v>
      </c>
      <c r="D102" s="35" t="s">
        <v>90</v>
      </c>
      <c r="E102" s="18" t="s">
        <v>1393</v>
      </c>
      <c r="F102" s="17" t="s">
        <v>110</v>
      </c>
      <c r="G102" s="17" t="s">
        <v>1485</v>
      </c>
      <c r="H102" s="80">
        <v>7331423002313</v>
      </c>
      <c r="I102" s="80">
        <v>7331423101214</v>
      </c>
      <c r="J102" s="80">
        <v>7331423201440</v>
      </c>
      <c r="K102" s="80">
        <v>17331423201447</v>
      </c>
      <c r="L102" s="38" t="s">
        <v>148</v>
      </c>
      <c r="M102" s="29" t="s">
        <v>327</v>
      </c>
      <c r="N102" s="6">
        <v>2.99</v>
      </c>
      <c r="O102" s="37">
        <v>25</v>
      </c>
      <c r="P102" s="228">
        <v>500</v>
      </c>
      <c r="Q102" s="101">
        <f t="shared" si="71"/>
        <v>1.9841603596638981E-2</v>
      </c>
      <c r="R102" s="35">
        <f t="shared" si="44"/>
        <v>6.6929133858267722</v>
      </c>
      <c r="S102" s="102">
        <v>1.5</v>
      </c>
      <c r="T102" s="103">
        <v>0.875</v>
      </c>
      <c r="U102" s="46">
        <f t="shared" si="59"/>
        <v>2.1605301694118003E-2</v>
      </c>
      <c r="V102" s="35">
        <f t="shared" si="60"/>
        <v>1.4566929133858268</v>
      </c>
      <c r="W102" s="35">
        <f t="shared" si="61"/>
        <v>0.59055118110236215</v>
      </c>
      <c r="X102" s="72">
        <f t="shared" si="62"/>
        <v>6.6929133858267713</v>
      </c>
      <c r="Y102" s="46">
        <f t="shared" si="63"/>
        <v>0.55203750451093347</v>
      </c>
      <c r="Z102" s="35">
        <f t="shared" si="64"/>
        <v>1.4566929133858268</v>
      </c>
      <c r="AA102" s="35">
        <f t="shared" si="65"/>
        <v>3.3070866141732287</v>
      </c>
      <c r="AB102" s="72">
        <f t="shared" si="66"/>
        <v>6.6929133858267713</v>
      </c>
      <c r="AC102" s="46">
        <f t="shared" si="67"/>
        <v>11.408922068067415</v>
      </c>
      <c r="AD102" s="35">
        <f t="shared" si="68"/>
        <v>12.007874015748031</v>
      </c>
      <c r="AE102" s="35">
        <f t="shared" si="69"/>
        <v>6.8897637795275584</v>
      </c>
      <c r="AF102" s="72">
        <f t="shared" si="70"/>
        <v>7.2834645669291342</v>
      </c>
      <c r="AG102" s="44">
        <f t="shared" si="43"/>
        <v>0.34871026220799889</v>
      </c>
      <c r="AH102" s="39" t="s">
        <v>1886</v>
      </c>
      <c r="AI102" s="39" t="s">
        <v>1887</v>
      </c>
      <c r="AJ102" s="39" t="s">
        <v>875</v>
      </c>
      <c r="AK102" s="39" t="s">
        <v>1888</v>
      </c>
      <c r="AL102" s="39" t="s">
        <v>1889</v>
      </c>
      <c r="AM102" s="39" t="s">
        <v>680</v>
      </c>
      <c r="AN102" s="39" t="s">
        <v>1890</v>
      </c>
      <c r="AO102" s="39" t="s">
        <v>1891</v>
      </c>
      <c r="AP102" s="39" t="s">
        <v>109</v>
      </c>
      <c r="AQ102" s="20" t="s">
        <v>1839</v>
      </c>
      <c r="AR102" s="97" t="s">
        <v>1838</v>
      </c>
    </row>
    <row r="103" spans="1:44" s="16" customFormat="1" ht="13.8" x14ac:dyDescent="0.3">
      <c r="A103" s="16" t="s">
        <v>121</v>
      </c>
      <c r="B103" s="143"/>
      <c r="C103" s="35" t="s">
        <v>82</v>
      </c>
      <c r="D103" s="35" t="s">
        <v>321</v>
      </c>
      <c r="E103" s="18" t="s">
        <v>1393</v>
      </c>
      <c r="F103" s="17" t="s">
        <v>53</v>
      </c>
      <c r="G103" s="17" t="s">
        <v>1485</v>
      </c>
      <c r="H103" s="9">
        <v>7331423006243</v>
      </c>
      <c r="I103" s="9">
        <v>7331423101092</v>
      </c>
      <c r="J103" s="9">
        <v>7331423201327</v>
      </c>
      <c r="K103" s="9">
        <v>17331423201324</v>
      </c>
      <c r="L103" s="38" t="s">
        <v>148</v>
      </c>
      <c r="M103" s="29" t="s">
        <v>327</v>
      </c>
      <c r="N103" s="6">
        <v>2.99</v>
      </c>
      <c r="O103" s="37">
        <v>25</v>
      </c>
      <c r="P103" s="228">
        <v>500</v>
      </c>
      <c r="Q103" s="101">
        <f t="shared" si="71"/>
        <v>1.9841603596638981E-2</v>
      </c>
      <c r="R103" s="35">
        <f t="shared" si="44"/>
        <v>6.6929133858267722</v>
      </c>
      <c r="S103" s="102">
        <v>1.5</v>
      </c>
      <c r="T103" s="103">
        <v>0.875</v>
      </c>
      <c r="U103" s="46">
        <f t="shared" si="59"/>
        <v>2.1605301694118003E-2</v>
      </c>
      <c r="V103" s="35">
        <f t="shared" si="60"/>
        <v>1.4566929133858268</v>
      </c>
      <c r="W103" s="35">
        <f t="shared" si="61"/>
        <v>0.59055118110236215</v>
      </c>
      <c r="X103" s="72">
        <f t="shared" si="62"/>
        <v>6.6929133858267713</v>
      </c>
      <c r="Y103" s="46">
        <f t="shared" si="63"/>
        <v>0.55203750451093347</v>
      </c>
      <c r="Z103" s="35">
        <f t="shared" si="64"/>
        <v>1.4566929133858268</v>
      </c>
      <c r="AA103" s="35">
        <f t="shared" si="65"/>
        <v>3.3070866141732287</v>
      </c>
      <c r="AB103" s="72">
        <f t="shared" si="66"/>
        <v>6.6929133858267713</v>
      </c>
      <c r="AC103" s="46">
        <f t="shared" si="67"/>
        <v>11.408922068067415</v>
      </c>
      <c r="AD103" s="35">
        <f t="shared" si="68"/>
        <v>12.007874015748031</v>
      </c>
      <c r="AE103" s="35">
        <f t="shared" si="69"/>
        <v>6.8897637795275584</v>
      </c>
      <c r="AF103" s="72">
        <f t="shared" si="70"/>
        <v>7.2834645669291342</v>
      </c>
      <c r="AG103" s="44">
        <f t="shared" si="43"/>
        <v>0.34871026220799889</v>
      </c>
      <c r="AH103" s="39" t="s">
        <v>1886</v>
      </c>
      <c r="AI103" s="39" t="s">
        <v>1887</v>
      </c>
      <c r="AJ103" s="39" t="s">
        <v>875</v>
      </c>
      <c r="AK103" s="39" t="s">
        <v>1888</v>
      </c>
      <c r="AL103" s="39" t="s">
        <v>1889</v>
      </c>
      <c r="AM103" s="39" t="s">
        <v>680</v>
      </c>
      <c r="AN103" s="39" t="s">
        <v>1890</v>
      </c>
      <c r="AO103" s="39" t="s">
        <v>1891</v>
      </c>
      <c r="AP103" s="39" t="s">
        <v>109</v>
      </c>
      <c r="AQ103" s="20" t="s">
        <v>1839</v>
      </c>
      <c r="AR103" s="97" t="s">
        <v>1838</v>
      </c>
    </row>
    <row r="104" spans="1:44" s="16" customFormat="1" ht="13.8" x14ac:dyDescent="0.3">
      <c r="A104" s="16" t="s">
        <v>121</v>
      </c>
      <c r="B104" s="143"/>
      <c r="C104" s="35" t="s">
        <v>82</v>
      </c>
      <c r="D104" s="35" t="s">
        <v>785</v>
      </c>
      <c r="E104" s="18" t="s">
        <v>1393</v>
      </c>
      <c r="F104" s="17" t="s">
        <v>881</v>
      </c>
      <c r="G104" s="17" t="s">
        <v>1485</v>
      </c>
      <c r="H104" s="9">
        <v>7331423003815</v>
      </c>
      <c r="I104" s="9">
        <v>7331423101085</v>
      </c>
      <c r="J104" s="9">
        <v>7331423201310</v>
      </c>
      <c r="K104" s="9">
        <v>17331423201317</v>
      </c>
      <c r="L104" s="38" t="s">
        <v>148</v>
      </c>
      <c r="M104" s="29" t="s">
        <v>327</v>
      </c>
      <c r="N104" s="6">
        <v>2.99</v>
      </c>
      <c r="O104" s="37">
        <v>25</v>
      </c>
      <c r="P104" s="228">
        <v>500</v>
      </c>
      <c r="Q104" s="101">
        <f t="shared" si="71"/>
        <v>1.9841603596638981E-2</v>
      </c>
      <c r="R104" s="35">
        <f t="shared" si="44"/>
        <v>6.6929133858267722</v>
      </c>
      <c r="S104" s="102">
        <v>1.5</v>
      </c>
      <c r="T104" s="103">
        <v>0.875</v>
      </c>
      <c r="U104" s="46">
        <f t="shared" si="59"/>
        <v>2.1605301694118003E-2</v>
      </c>
      <c r="V104" s="35">
        <f t="shared" si="60"/>
        <v>1.4566929133858268</v>
      </c>
      <c r="W104" s="35">
        <f t="shared" si="61"/>
        <v>0.59055118110236215</v>
      </c>
      <c r="X104" s="72">
        <f t="shared" si="62"/>
        <v>6.6929133858267713</v>
      </c>
      <c r="Y104" s="46">
        <f t="shared" si="63"/>
        <v>0.55203750451093347</v>
      </c>
      <c r="Z104" s="35">
        <f t="shared" si="64"/>
        <v>1.4566929133858268</v>
      </c>
      <c r="AA104" s="35">
        <f t="shared" si="65"/>
        <v>3.3070866141732287</v>
      </c>
      <c r="AB104" s="72">
        <f t="shared" si="66"/>
        <v>6.6929133858267713</v>
      </c>
      <c r="AC104" s="46">
        <f t="shared" si="67"/>
        <v>11.408922068067415</v>
      </c>
      <c r="AD104" s="35">
        <f t="shared" si="68"/>
        <v>12.007874015748031</v>
      </c>
      <c r="AE104" s="35">
        <f t="shared" si="69"/>
        <v>6.8897637795275584</v>
      </c>
      <c r="AF104" s="72">
        <f t="shared" si="70"/>
        <v>7.2834645669291342</v>
      </c>
      <c r="AG104" s="44">
        <f t="shared" si="43"/>
        <v>0.34871026220799889</v>
      </c>
      <c r="AH104" s="39" t="s">
        <v>1886</v>
      </c>
      <c r="AI104" s="39" t="s">
        <v>1887</v>
      </c>
      <c r="AJ104" s="39" t="s">
        <v>875</v>
      </c>
      <c r="AK104" s="39" t="s">
        <v>1888</v>
      </c>
      <c r="AL104" s="39" t="s">
        <v>1889</v>
      </c>
      <c r="AM104" s="39" t="s">
        <v>680</v>
      </c>
      <c r="AN104" s="39" t="s">
        <v>1890</v>
      </c>
      <c r="AO104" s="39" t="s">
        <v>1891</v>
      </c>
      <c r="AP104" s="39" t="s">
        <v>109</v>
      </c>
      <c r="AQ104" s="20" t="s">
        <v>1839</v>
      </c>
      <c r="AR104" s="97" t="s">
        <v>1838</v>
      </c>
    </row>
    <row r="105" spans="1:44" s="16" customFormat="1" ht="13.8" x14ac:dyDescent="0.3">
      <c r="A105" s="16" t="s">
        <v>121</v>
      </c>
      <c r="B105" s="143"/>
      <c r="C105" s="35" t="s">
        <v>82</v>
      </c>
      <c r="D105" s="35" t="s">
        <v>784</v>
      </c>
      <c r="E105" s="18" t="s">
        <v>1393</v>
      </c>
      <c r="F105" s="17" t="s">
        <v>882</v>
      </c>
      <c r="G105" s="17" t="s">
        <v>1485</v>
      </c>
      <c r="H105" s="9">
        <v>7331423008339</v>
      </c>
      <c r="I105" s="9">
        <v>7331423101108</v>
      </c>
      <c r="J105" s="9">
        <v>7331423201334</v>
      </c>
      <c r="K105" s="9">
        <v>17331423201331</v>
      </c>
      <c r="L105" s="38" t="s">
        <v>148</v>
      </c>
      <c r="M105" s="29" t="s">
        <v>327</v>
      </c>
      <c r="N105" s="6">
        <v>2.99</v>
      </c>
      <c r="O105" s="37">
        <v>25</v>
      </c>
      <c r="P105" s="228">
        <v>500</v>
      </c>
      <c r="Q105" s="101">
        <f t="shared" si="71"/>
        <v>1.9841603596638981E-2</v>
      </c>
      <c r="R105" s="35">
        <f t="shared" si="44"/>
        <v>6.6929133858267722</v>
      </c>
      <c r="S105" s="102">
        <v>1.5</v>
      </c>
      <c r="T105" s="103">
        <v>0.875</v>
      </c>
      <c r="U105" s="46">
        <f t="shared" si="59"/>
        <v>2.1605301694118003E-2</v>
      </c>
      <c r="V105" s="35">
        <f t="shared" si="60"/>
        <v>1.4566929133858268</v>
      </c>
      <c r="W105" s="35">
        <f t="shared" si="61"/>
        <v>0.59055118110236215</v>
      </c>
      <c r="X105" s="72">
        <f t="shared" si="62"/>
        <v>6.6929133858267713</v>
      </c>
      <c r="Y105" s="46">
        <f t="shared" si="63"/>
        <v>0.55203750451093347</v>
      </c>
      <c r="Z105" s="35">
        <f t="shared" si="64"/>
        <v>1.4566929133858268</v>
      </c>
      <c r="AA105" s="35">
        <f t="shared" si="65"/>
        <v>3.3070866141732287</v>
      </c>
      <c r="AB105" s="72">
        <f t="shared" si="66"/>
        <v>6.6929133858267713</v>
      </c>
      <c r="AC105" s="46">
        <f t="shared" si="67"/>
        <v>11.408922068067415</v>
      </c>
      <c r="AD105" s="35">
        <f t="shared" si="68"/>
        <v>12.007874015748031</v>
      </c>
      <c r="AE105" s="35">
        <f t="shared" si="69"/>
        <v>6.8897637795275584</v>
      </c>
      <c r="AF105" s="72">
        <f t="shared" si="70"/>
        <v>7.2834645669291342</v>
      </c>
      <c r="AG105" s="44">
        <f t="shared" si="43"/>
        <v>0.34871026220799889</v>
      </c>
      <c r="AH105" s="39" t="s">
        <v>1886</v>
      </c>
      <c r="AI105" s="39" t="s">
        <v>1887</v>
      </c>
      <c r="AJ105" s="39" t="s">
        <v>875</v>
      </c>
      <c r="AK105" s="39" t="s">
        <v>1888</v>
      </c>
      <c r="AL105" s="39" t="s">
        <v>1889</v>
      </c>
      <c r="AM105" s="39" t="s">
        <v>680</v>
      </c>
      <c r="AN105" s="39" t="s">
        <v>1890</v>
      </c>
      <c r="AO105" s="39" t="s">
        <v>1891</v>
      </c>
      <c r="AP105" s="39" t="s">
        <v>109</v>
      </c>
      <c r="AQ105" s="20" t="s">
        <v>1839</v>
      </c>
      <c r="AR105" s="97" t="s">
        <v>1838</v>
      </c>
    </row>
    <row r="106" spans="1:44" s="16" customFormat="1" ht="13.8" x14ac:dyDescent="0.3">
      <c r="A106" s="16" t="s">
        <v>121</v>
      </c>
      <c r="B106" s="143"/>
      <c r="C106" s="35" t="s">
        <v>82</v>
      </c>
      <c r="D106" s="35" t="s">
        <v>72</v>
      </c>
      <c r="E106" s="18" t="s">
        <v>1393</v>
      </c>
      <c r="F106" s="17" t="s">
        <v>534</v>
      </c>
      <c r="G106" s="17" t="s">
        <v>1485</v>
      </c>
      <c r="H106" s="9">
        <v>7331423004171</v>
      </c>
      <c r="I106" s="9">
        <v>7331423101238</v>
      </c>
      <c r="J106" s="9">
        <v>7331423201464</v>
      </c>
      <c r="K106" s="9">
        <v>17331423201461</v>
      </c>
      <c r="L106" s="38" t="s">
        <v>148</v>
      </c>
      <c r="M106" s="29" t="s">
        <v>327</v>
      </c>
      <c r="N106" s="6">
        <v>2.99</v>
      </c>
      <c r="O106" s="37">
        <v>25</v>
      </c>
      <c r="P106" s="228">
        <v>500</v>
      </c>
      <c r="Q106" s="101">
        <f t="shared" si="71"/>
        <v>1.9841603596638981E-2</v>
      </c>
      <c r="R106" s="35">
        <f t="shared" si="44"/>
        <v>6.6929133858267722</v>
      </c>
      <c r="S106" s="102">
        <v>1.5</v>
      </c>
      <c r="T106" s="103">
        <v>0.875</v>
      </c>
      <c r="U106" s="46">
        <f t="shared" si="59"/>
        <v>2.1605301694118003E-2</v>
      </c>
      <c r="V106" s="35">
        <f t="shared" si="60"/>
        <v>1.4566929133858268</v>
      </c>
      <c r="W106" s="35">
        <f t="shared" si="61"/>
        <v>0.59055118110236215</v>
      </c>
      <c r="X106" s="72">
        <f t="shared" si="62"/>
        <v>6.6929133858267713</v>
      </c>
      <c r="Y106" s="46">
        <f t="shared" si="63"/>
        <v>0.55203750451093347</v>
      </c>
      <c r="Z106" s="35">
        <f t="shared" si="64"/>
        <v>1.4566929133858268</v>
      </c>
      <c r="AA106" s="35">
        <f t="shared" si="65"/>
        <v>3.3070866141732287</v>
      </c>
      <c r="AB106" s="72">
        <f t="shared" si="66"/>
        <v>6.6929133858267713</v>
      </c>
      <c r="AC106" s="46">
        <f t="shared" si="67"/>
        <v>11.408922068067415</v>
      </c>
      <c r="AD106" s="35">
        <f t="shared" si="68"/>
        <v>12.007874015748031</v>
      </c>
      <c r="AE106" s="35">
        <f t="shared" si="69"/>
        <v>6.8897637795275584</v>
      </c>
      <c r="AF106" s="72">
        <f t="shared" si="70"/>
        <v>7.2834645669291342</v>
      </c>
      <c r="AG106" s="44">
        <f t="shared" si="43"/>
        <v>0.34871026220799889</v>
      </c>
      <c r="AH106" s="39" t="s">
        <v>1886</v>
      </c>
      <c r="AI106" s="39" t="s">
        <v>1887</v>
      </c>
      <c r="AJ106" s="39" t="s">
        <v>875</v>
      </c>
      <c r="AK106" s="39" t="s">
        <v>1888</v>
      </c>
      <c r="AL106" s="39" t="s">
        <v>1889</v>
      </c>
      <c r="AM106" s="39" t="s">
        <v>680</v>
      </c>
      <c r="AN106" s="39" t="s">
        <v>1890</v>
      </c>
      <c r="AO106" s="39" t="s">
        <v>1891</v>
      </c>
      <c r="AP106" s="39" t="s">
        <v>109</v>
      </c>
      <c r="AQ106" s="20" t="s">
        <v>1839</v>
      </c>
      <c r="AR106" s="97" t="s">
        <v>1838</v>
      </c>
    </row>
    <row r="107" spans="1:44" s="16" customFormat="1" ht="13.8" x14ac:dyDescent="0.3">
      <c r="A107" s="16" t="s">
        <v>121</v>
      </c>
      <c r="B107" s="143"/>
      <c r="C107" s="35" t="s">
        <v>82</v>
      </c>
      <c r="D107" s="35" t="s">
        <v>1746</v>
      </c>
      <c r="E107" s="18" t="s">
        <v>1393</v>
      </c>
      <c r="F107" s="17" t="s">
        <v>68</v>
      </c>
      <c r="G107" s="17" t="s">
        <v>1485</v>
      </c>
      <c r="H107" s="9">
        <v>7331423002719</v>
      </c>
      <c r="I107" s="9">
        <v>7331423101177</v>
      </c>
      <c r="J107" s="9">
        <v>7331423201402</v>
      </c>
      <c r="K107" s="9">
        <v>17331423201409</v>
      </c>
      <c r="L107" s="38" t="s">
        <v>148</v>
      </c>
      <c r="M107" s="29" t="s">
        <v>327</v>
      </c>
      <c r="N107" s="6">
        <v>2.99</v>
      </c>
      <c r="O107" s="37">
        <v>25</v>
      </c>
      <c r="P107" s="228">
        <v>500</v>
      </c>
      <c r="Q107" s="101">
        <f t="shared" si="71"/>
        <v>1.9841603596638981E-2</v>
      </c>
      <c r="R107" s="35">
        <f t="shared" si="44"/>
        <v>6.6929133858267722</v>
      </c>
      <c r="S107" s="102">
        <v>1.5</v>
      </c>
      <c r="T107" s="103">
        <v>0.875</v>
      </c>
      <c r="U107" s="46">
        <f t="shared" si="59"/>
        <v>2.1605301694118003E-2</v>
      </c>
      <c r="V107" s="35">
        <f t="shared" si="60"/>
        <v>1.4566929133858268</v>
      </c>
      <c r="W107" s="35">
        <f t="shared" si="61"/>
        <v>0.59055118110236215</v>
      </c>
      <c r="X107" s="72">
        <f t="shared" si="62"/>
        <v>6.6929133858267713</v>
      </c>
      <c r="Y107" s="46">
        <f t="shared" si="63"/>
        <v>0.55203750451093347</v>
      </c>
      <c r="Z107" s="35">
        <f t="shared" si="64"/>
        <v>1.4566929133858268</v>
      </c>
      <c r="AA107" s="35">
        <f t="shared" si="65"/>
        <v>3.3070866141732287</v>
      </c>
      <c r="AB107" s="72">
        <f t="shared" si="66"/>
        <v>6.6929133858267713</v>
      </c>
      <c r="AC107" s="46">
        <f t="shared" si="67"/>
        <v>11.408922068067415</v>
      </c>
      <c r="AD107" s="35">
        <f t="shared" si="68"/>
        <v>12.007874015748031</v>
      </c>
      <c r="AE107" s="35">
        <f t="shared" si="69"/>
        <v>6.8897637795275584</v>
      </c>
      <c r="AF107" s="72">
        <f t="shared" si="70"/>
        <v>7.2834645669291342</v>
      </c>
      <c r="AG107" s="44">
        <f t="shared" si="43"/>
        <v>0.34871026220799889</v>
      </c>
      <c r="AH107" s="39" t="s">
        <v>1886</v>
      </c>
      <c r="AI107" s="39" t="s">
        <v>1887</v>
      </c>
      <c r="AJ107" s="39" t="s">
        <v>875</v>
      </c>
      <c r="AK107" s="39" t="s">
        <v>1888</v>
      </c>
      <c r="AL107" s="39" t="s">
        <v>1889</v>
      </c>
      <c r="AM107" s="39" t="s">
        <v>680</v>
      </c>
      <c r="AN107" s="39" t="s">
        <v>1890</v>
      </c>
      <c r="AO107" s="39" t="s">
        <v>1891</v>
      </c>
      <c r="AP107" s="39" t="s">
        <v>109</v>
      </c>
      <c r="AQ107" s="20" t="s">
        <v>1839</v>
      </c>
      <c r="AR107" s="97" t="s">
        <v>1838</v>
      </c>
    </row>
    <row r="108" spans="1:44" s="20" customFormat="1" ht="13.8" x14ac:dyDescent="0.3">
      <c r="A108" s="20" t="s">
        <v>121</v>
      </c>
      <c r="B108" s="141"/>
      <c r="C108" s="35" t="s">
        <v>82</v>
      </c>
      <c r="D108" s="451"/>
      <c r="E108" s="36" t="s">
        <v>1393</v>
      </c>
      <c r="F108" s="35" t="s">
        <v>76</v>
      </c>
      <c r="G108" s="35" t="s">
        <v>1485</v>
      </c>
      <c r="H108" s="9">
        <v>7331423003808</v>
      </c>
      <c r="I108" s="9">
        <v>7331423101078</v>
      </c>
      <c r="J108" s="9">
        <v>7331423201303</v>
      </c>
      <c r="K108" s="9">
        <v>17331423201300</v>
      </c>
      <c r="L108" s="38" t="s">
        <v>148</v>
      </c>
      <c r="M108" s="38" t="s">
        <v>327</v>
      </c>
      <c r="N108" s="7">
        <v>2.99</v>
      </c>
      <c r="O108" s="37">
        <v>25</v>
      </c>
      <c r="P108" s="228">
        <v>500</v>
      </c>
      <c r="Q108" s="101">
        <f t="shared" si="71"/>
        <v>1.9841603596638981E-2</v>
      </c>
      <c r="R108" s="35">
        <f t="shared" si="44"/>
        <v>6.6929133858267722</v>
      </c>
      <c r="S108" s="102">
        <v>1.5</v>
      </c>
      <c r="T108" s="103">
        <v>0.875</v>
      </c>
      <c r="U108" s="46">
        <f t="shared" si="59"/>
        <v>2.1605301694118003E-2</v>
      </c>
      <c r="V108" s="35">
        <f t="shared" si="60"/>
        <v>1.4566929133858268</v>
      </c>
      <c r="W108" s="35">
        <f t="shared" si="61"/>
        <v>0.59055118110236215</v>
      </c>
      <c r="X108" s="72">
        <f t="shared" si="62"/>
        <v>6.6929133858267713</v>
      </c>
      <c r="Y108" s="46">
        <f t="shared" si="63"/>
        <v>0.55203750451093347</v>
      </c>
      <c r="Z108" s="35">
        <f t="shared" si="64"/>
        <v>1.4566929133858268</v>
      </c>
      <c r="AA108" s="35">
        <f t="shared" si="65"/>
        <v>3.3070866141732287</v>
      </c>
      <c r="AB108" s="72">
        <f t="shared" si="66"/>
        <v>6.6929133858267713</v>
      </c>
      <c r="AC108" s="46">
        <f t="shared" si="67"/>
        <v>11.408922068067415</v>
      </c>
      <c r="AD108" s="35">
        <f t="shared" si="68"/>
        <v>12.007874015748031</v>
      </c>
      <c r="AE108" s="35">
        <f t="shared" si="69"/>
        <v>6.8897637795275584</v>
      </c>
      <c r="AF108" s="72">
        <f t="shared" si="70"/>
        <v>7.2834645669291342</v>
      </c>
      <c r="AG108" s="46">
        <f t="shared" si="43"/>
        <v>0.34871026220799889</v>
      </c>
      <c r="AH108" s="39" t="s">
        <v>1886</v>
      </c>
      <c r="AI108" s="39" t="s">
        <v>1887</v>
      </c>
      <c r="AJ108" s="39" t="s">
        <v>875</v>
      </c>
      <c r="AK108" s="39" t="s">
        <v>1888</v>
      </c>
      <c r="AL108" s="39" t="s">
        <v>1889</v>
      </c>
      <c r="AM108" s="39" t="s">
        <v>680</v>
      </c>
      <c r="AN108" s="39" t="s">
        <v>1890</v>
      </c>
      <c r="AO108" s="39" t="s">
        <v>1891</v>
      </c>
      <c r="AP108" s="39" t="s">
        <v>109</v>
      </c>
      <c r="AQ108" s="20" t="s">
        <v>1839</v>
      </c>
      <c r="AR108" s="97" t="s">
        <v>1838</v>
      </c>
    </row>
    <row r="109" spans="1:44" s="39" customFormat="1" ht="13.8" x14ac:dyDescent="0.3">
      <c r="A109" s="20" t="s">
        <v>121</v>
      </c>
      <c r="C109" s="35" t="s">
        <v>82</v>
      </c>
      <c r="D109" s="35" t="s">
        <v>1812</v>
      </c>
      <c r="E109" s="18" t="s">
        <v>1393</v>
      </c>
      <c r="F109" s="17" t="s">
        <v>1813</v>
      </c>
      <c r="G109" s="17" t="s">
        <v>1485</v>
      </c>
      <c r="H109" s="401">
        <v>7331423010028</v>
      </c>
      <c r="I109" s="401">
        <v>7331423101627</v>
      </c>
      <c r="J109" s="401">
        <v>7331423202324</v>
      </c>
      <c r="K109" s="401">
        <v>17331423202406</v>
      </c>
      <c r="L109" s="38" t="s">
        <v>148</v>
      </c>
      <c r="M109" s="296" t="s">
        <v>327</v>
      </c>
      <c r="N109" s="260">
        <v>2.99</v>
      </c>
      <c r="O109" s="178">
        <v>25</v>
      </c>
      <c r="P109" s="231">
        <v>500</v>
      </c>
      <c r="Q109" s="101">
        <f>CONVERT(10,"g","lbm")</f>
        <v>2.2046226218487758E-2</v>
      </c>
      <c r="R109" s="35">
        <f t="shared" si="44"/>
        <v>6.6929133858267722</v>
      </c>
      <c r="S109" s="102">
        <v>1.5</v>
      </c>
      <c r="T109" s="103">
        <v>0.875</v>
      </c>
      <c r="U109" s="46">
        <f>CONVERT(0.0098,"kg","lbm")</f>
        <v>2.1605301694118003E-2</v>
      </c>
      <c r="V109" s="35">
        <f>CONVERT(37,"mm","in")</f>
        <v>1.4566929133858268</v>
      </c>
      <c r="W109" s="35">
        <f>CONVERT(15,"mm","in")</f>
        <v>0.59055118110236215</v>
      </c>
      <c r="X109" s="72">
        <f>CONVERT(170,"mm","in")</f>
        <v>6.6929133858267713</v>
      </c>
      <c r="Y109" s="46">
        <f>CONVERT(0.2504,"kg","lbm")</f>
        <v>0.55203750451093347</v>
      </c>
      <c r="Z109" s="35">
        <f>CONVERT(37,"mm","in")</f>
        <v>1.4566929133858268</v>
      </c>
      <c r="AA109" s="35">
        <f>CONVERT(84,"mm","in")</f>
        <v>3.3070866141732287</v>
      </c>
      <c r="AB109" s="72">
        <f>CONVERT(170,"mm","in")</f>
        <v>6.6929133858267713</v>
      </c>
      <c r="AC109" s="46">
        <f>CONVERT(5.175,"kg","lbm")</f>
        <v>11.408922068067415</v>
      </c>
      <c r="AD109" s="35">
        <f>CONVERT(305,"mm","in")</f>
        <v>12.007874015748031</v>
      </c>
      <c r="AE109" s="35">
        <f>CONVERT(175,"mm","in")</f>
        <v>6.8897637795275584</v>
      </c>
      <c r="AF109" s="72">
        <f>CONVERT(185,"mm","in")</f>
        <v>7.2834645669291342</v>
      </c>
      <c r="AG109" s="46">
        <f t="shared" si="43"/>
        <v>0.34871026220799889</v>
      </c>
      <c r="AH109" s="39" t="s">
        <v>1886</v>
      </c>
      <c r="AI109" s="39" t="s">
        <v>1887</v>
      </c>
      <c r="AJ109" s="39" t="s">
        <v>875</v>
      </c>
      <c r="AK109" s="39" t="s">
        <v>1888</v>
      </c>
      <c r="AL109" s="39" t="s">
        <v>1889</v>
      </c>
      <c r="AM109" s="39" t="s">
        <v>680</v>
      </c>
      <c r="AN109" s="39" t="s">
        <v>1890</v>
      </c>
      <c r="AO109" s="39" t="s">
        <v>1891</v>
      </c>
      <c r="AP109" s="39" t="s">
        <v>109</v>
      </c>
      <c r="AQ109" s="20" t="s">
        <v>1839</v>
      </c>
      <c r="AR109" s="97" t="s">
        <v>1838</v>
      </c>
    </row>
    <row r="110" spans="1:44" s="39" customFormat="1" ht="13.8" x14ac:dyDescent="0.3">
      <c r="A110" s="20" t="s">
        <v>121</v>
      </c>
      <c r="C110" s="35" t="s">
        <v>82</v>
      </c>
      <c r="D110" s="35" t="s">
        <v>1814</v>
      </c>
      <c r="E110" s="18" t="s">
        <v>1393</v>
      </c>
      <c r="F110" s="17" t="s">
        <v>1815</v>
      </c>
      <c r="G110" s="17" t="s">
        <v>1485</v>
      </c>
      <c r="H110" s="401">
        <v>7331423010035</v>
      </c>
      <c r="I110" s="401">
        <v>7331423101634</v>
      </c>
      <c r="J110" s="401">
        <v>7331423202331</v>
      </c>
      <c r="K110" s="401">
        <v>17331423202413</v>
      </c>
      <c r="L110" s="38" t="s">
        <v>148</v>
      </c>
      <c r="M110" s="296" t="s">
        <v>327</v>
      </c>
      <c r="N110" s="260">
        <v>2.99</v>
      </c>
      <c r="O110" s="178">
        <v>25</v>
      </c>
      <c r="P110" s="231">
        <v>500</v>
      </c>
      <c r="Q110" s="101">
        <f>CONVERT(10,"g","lbm")</f>
        <v>2.2046226218487758E-2</v>
      </c>
      <c r="R110" s="35">
        <f t="shared" si="44"/>
        <v>6.6929133858267722</v>
      </c>
      <c r="S110" s="102">
        <v>1.5</v>
      </c>
      <c r="T110" s="103">
        <v>0.875</v>
      </c>
      <c r="U110" s="46">
        <f>CONVERT(0.0098,"kg","lbm")</f>
        <v>2.1605301694118003E-2</v>
      </c>
      <c r="V110" s="35">
        <f>CONVERT(37,"mm","in")</f>
        <v>1.4566929133858268</v>
      </c>
      <c r="W110" s="35">
        <f>CONVERT(15,"mm","in")</f>
        <v>0.59055118110236215</v>
      </c>
      <c r="X110" s="72">
        <f>CONVERT(170,"mm","in")</f>
        <v>6.6929133858267713</v>
      </c>
      <c r="Y110" s="46">
        <f>CONVERT(0.2504,"kg","lbm")</f>
        <v>0.55203750451093347</v>
      </c>
      <c r="Z110" s="35">
        <f>CONVERT(37,"mm","in")</f>
        <v>1.4566929133858268</v>
      </c>
      <c r="AA110" s="35">
        <f>CONVERT(84,"mm","in")</f>
        <v>3.3070866141732287</v>
      </c>
      <c r="AB110" s="72">
        <f>CONVERT(170,"mm","in")</f>
        <v>6.6929133858267713</v>
      </c>
      <c r="AC110" s="46">
        <f>CONVERT(5.175,"kg","lbm")</f>
        <v>11.408922068067415</v>
      </c>
      <c r="AD110" s="35">
        <f>CONVERT(305,"mm","in")</f>
        <v>12.007874015748031</v>
      </c>
      <c r="AE110" s="35">
        <f>CONVERT(175,"mm","in")</f>
        <v>6.8897637795275584</v>
      </c>
      <c r="AF110" s="72">
        <f>CONVERT(185,"mm","in")</f>
        <v>7.2834645669291342</v>
      </c>
      <c r="AG110" s="46">
        <f t="shared" si="43"/>
        <v>0.34871026220799889</v>
      </c>
      <c r="AH110" s="39" t="s">
        <v>1886</v>
      </c>
      <c r="AI110" s="39" t="s">
        <v>1887</v>
      </c>
      <c r="AJ110" s="39" t="s">
        <v>875</v>
      </c>
      <c r="AK110" s="39" t="s">
        <v>1888</v>
      </c>
      <c r="AL110" s="39" t="s">
        <v>1889</v>
      </c>
      <c r="AM110" s="39" t="s">
        <v>680</v>
      </c>
      <c r="AN110" s="39" t="s">
        <v>1890</v>
      </c>
      <c r="AO110" s="39" t="s">
        <v>1891</v>
      </c>
      <c r="AP110" s="39" t="s">
        <v>109</v>
      </c>
      <c r="AQ110" s="20" t="s">
        <v>1839</v>
      </c>
      <c r="AR110" s="97" t="s">
        <v>1838</v>
      </c>
    </row>
    <row r="111" spans="1:44" s="39" customFormat="1" ht="13.8" x14ac:dyDescent="0.3">
      <c r="A111" s="20" t="s">
        <v>121</v>
      </c>
      <c r="C111" s="35" t="s">
        <v>82</v>
      </c>
      <c r="D111" s="35" t="s">
        <v>1816</v>
      </c>
      <c r="E111" s="18" t="s">
        <v>1393</v>
      </c>
      <c r="F111" s="17" t="s">
        <v>1817</v>
      </c>
      <c r="G111" s="17" t="s">
        <v>1485</v>
      </c>
      <c r="H111" s="401">
        <v>7331423010042</v>
      </c>
      <c r="I111" s="401">
        <v>7331423101641</v>
      </c>
      <c r="J111" s="401">
        <v>7331423202348</v>
      </c>
      <c r="K111" s="401">
        <v>17331423202420</v>
      </c>
      <c r="L111" s="38" t="s">
        <v>148</v>
      </c>
      <c r="M111" s="296" t="s">
        <v>327</v>
      </c>
      <c r="N111" s="260">
        <v>2.99</v>
      </c>
      <c r="O111" s="178">
        <v>25</v>
      </c>
      <c r="P111" s="231">
        <v>500</v>
      </c>
      <c r="Q111" s="101">
        <f>CONVERT(10,"g","lbm")</f>
        <v>2.2046226218487758E-2</v>
      </c>
      <c r="R111" s="35">
        <f t="shared" si="44"/>
        <v>6.6929133858267722</v>
      </c>
      <c r="S111" s="102">
        <v>1.5</v>
      </c>
      <c r="T111" s="103">
        <v>0.875</v>
      </c>
      <c r="U111" s="46">
        <f>CONVERT(0.0098,"kg","lbm")</f>
        <v>2.1605301694118003E-2</v>
      </c>
      <c r="V111" s="35">
        <f>CONVERT(37,"mm","in")</f>
        <v>1.4566929133858268</v>
      </c>
      <c r="W111" s="35">
        <f>CONVERT(15,"mm","in")</f>
        <v>0.59055118110236215</v>
      </c>
      <c r="X111" s="72">
        <f>CONVERT(170,"mm","in")</f>
        <v>6.6929133858267713</v>
      </c>
      <c r="Y111" s="46">
        <f>CONVERT(0.2504,"kg","lbm")</f>
        <v>0.55203750451093347</v>
      </c>
      <c r="Z111" s="35">
        <f>CONVERT(37,"mm","in")</f>
        <v>1.4566929133858268</v>
      </c>
      <c r="AA111" s="35">
        <f>CONVERT(84,"mm","in")</f>
        <v>3.3070866141732287</v>
      </c>
      <c r="AB111" s="72">
        <f>CONVERT(170,"mm","in")</f>
        <v>6.6929133858267713</v>
      </c>
      <c r="AC111" s="46">
        <f>CONVERT(5.175,"kg","lbm")</f>
        <v>11.408922068067415</v>
      </c>
      <c r="AD111" s="35">
        <f>CONVERT(305,"mm","in")</f>
        <v>12.007874015748031</v>
      </c>
      <c r="AE111" s="35">
        <f>CONVERT(175,"mm","in")</f>
        <v>6.8897637795275584</v>
      </c>
      <c r="AF111" s="72">
        <f>CONVERT(185,"mm","in")</f>
        <v>7.2834645669291342</v>
      </c>
      <c r="AG111" s="46">
        <f t="shared" si="43"/>
        <v>0.34871026220799889</v>
      </c>
      <c r="AH111" s="39" t="s">
        <v>1886</v>
      </c>
      <c r="AI111" s="39" t="s">
        <v>1887</v>
      </c>
      <c r="AJ111" s="39" t="s">
        <v>875</v>
      </c>
      <c r="AK111" s="39" t="s">
        <v>1888</v>
      </c>
      <c r="AL111" s="39" t="s">
        <v>1889</v>
      </c>
      <c r="AM111" s="39" t="s">
        <v>680</v>
      </c>
      <c r="AN111" s="39" t="s">
        <v>1890</v>
      </c>
      <c r="AO111" s="39" t="s">
        <v>1891</v>
      </c>
      <c r="AP111" s="39" t="s">
        <v>109</v>
      </c>
      <c r="AQ111" s="20" t="s">
        <v>1839</v>
      </c>
      <c r="AR111" s="97" t="s">
        <v>1838</v>
      </c>
    </row>
    <row r="112" spans="1:44" s="213" customFormat="1" x14ac:dyDescent="0.25">
      <c r="A112" s="213" t="s">
        <v>1451</v>
      </c>
      <c r="B112" s="369"/>
      <c r="C112" s="192"/>
      <c r="D112" s="35" t="s">
        <v>128</v>
      </c>
      <c r="E112" s="241"/>
      <c r="F112" s="192"/>
      <c r="G112" s="192"/>
      <c r="H112" s="221"/>
      <c r="I112" s="221"/>
      <c r="J112" s="221"/>
      <c r="K112" s="221"/>
      <c r="L112" s="211"/>
      <c r="M112" s="211"/>
      <c r="N112" s="215"/>
      <c r="O112" s="216"/>
      <c r="P112" s="275"/>
      <c r="Q112" s="192"/>
      <c r="R112" s="192"/>
      <c r="S112" s="192"/>
      <c r="T112" s="193"/>
      <c r="U112" s="191"/>
      <c r="V112" s="192"/>
      <c r="W112" s="192"/>
      <c r="X112" s="193"/>
      <c r="Y112" s="191"/>
      <c r="Z112" s="192"/>
      <c r="AA112" s="192"/>
      <c r="AB112" s="193"/>
      <c r="AC112" s="191"/>
      <c r="AD112" s="223"/>
      <c r="AE112" s="223"/>
      <c r="AF112" s="193"/>
      <c r="AG112" s="191"/>
      <c r="AH112" s="202"/>
      <c r="AI112" s="202"/>
      <c r="AJ112" s="202"/>
      <c r="AK112" s="202"/>
      <c r="AL112" s="202"/>
      <c r="AM112" s="202"/>
      <c r="AN112" s="202"/>
      <c r="AO112" s="202"/>
      <c r="AP112" s="202"/>
      <c r="AQ112" s="224"/>
    </row>
    <row r="113" spans="1:44" s="20" customFormat="1" ht="13.8" x14ac:dyDescent="0.3">
      <c r="A113" s="20" t="s">
        <v>121</v>
      </c>
      <c r="B113" s="141"/>
      <c r="C113" s="35" t="s">
        <v>150</v>
      </c>
      <c r="D113" s="35" t="s">
        <v>371</v>
      </c>
      <c r="E113" s="36" t="s">
        <v>1752</v>
      </c>
      <c r="F113" s="35" t="s">
        <v>1727</v>
      </c>
      <c r="G113" s="35" t="s">
        <v>1486</v>
      </c>
      <c r="H113" s="80">
        <v>7331423006052</v>
      </c>
      <c r="I113" s="80" t="s">
        <v>66</v>
      </c>
      <c r="J113" s="80">
        <v>7331423201891</v>
      </c>
      <c r="K113" s="80">
        <v>17331423202062</v>
      </c>
      <c r="L113" s="38" t="s">
        <v>148</v>
      </c>
      <c r="M113" s="38" t="s">
        <v>327</v>
      </c>
      <c r="N113" s="7">
        <v>2.99</v>
      </c>
      <c r="O113" s="37">
        <v>1</v>
      </c>
      <c r="P113" s="228">
        <v>9</v>
      </c>
      <c r="Q113" s="101">
        <f>CONVERT(10,"g","lbm")</f>
        <v>2.2046226218487758E-2</v>
      </c>
      <c r="R113" s="35">
        <f>CONVERT(17,"cm","in")</f>
        <v>6.6929133858267722</v>
      </c>
      <c r="S113" s="102">
        <v>1.5</v>
      </c>
      <c r="T113" s="103">
        <v>0.875</v>
      </c>
      <c r="U113" s="101">
        <f>CONVERT(675,"g","lbm")</f>
        <v>1.4881202697479237</v>
      </c>
      <c r="V113" s="102">
        <v>4.75</v>
      </c>
      <c r="W113" s="102">
        <v>4.75</v>
      </c>
      <c r="X113" s="103">
        <v>7.125</v>
      </c>
      <c r="Y113" s="46" t="s">
        <v>66</v>
      </c>
      <c r="Z113" s="35" t="s">
        <v>66</v>
      </c>
      <c r="AA113" s="35" t="s">
        <v>66</v>
      </c>
      <c r="AB113" s="72" t="s">
        <v>66</v>
      </c>
      <c r="AC113" s="46">
        <v>13.95</v>
      </c>
      <c r="AD113" s="35">
        <v>12.375</v>
      </c>
      <c r="AE113" s="35">
        <v>12.5</v>
      </c>
      <c r="AF113" s="72">
        <v>7.75</v>
      </c>
      <c r="AG113" s="46">
        <f>AD113*AE113*AF113/(12^3)</f>
        <v>0.69376627604166663</v>
      </c>
      <c r="AH113" s="39" t="s">
        <v>1892</v>
      </c>
      <c r="AI113" s="39" t="s">
        <v>1887</v>
      </c>
      <c r="AJ113" s="39" t="s">
        <v>875</v>
      </c>
      <c r="AK113" s="39" t="s">
        <v>1888</v>
      </c>
      <c r="AL113" s="39" t="s">
        <v>1889</v>
      </c>
      <c r="AM113" s="39" t="s">
        <v>680</v>
      </c>
      <c r="AN113" s="39" t="s">
        <v>1890</v>
      </c>
      <c r="AO113" s="39" t="s">
        <v>1891</v>
      </c>
      <c r="AP113" s="39" t="s">
        <v>109</v>
      </c>
      <c r="AQ113" s="20" t="s">
        <v>1839</v>
      </c>
      <c r="AR113" s="97" t="s">
        <v>1838</v>
      </c>
    </row>
    <row r="114" spans="1:44" s="20" customFormat="1" ht="13.8" x14ac:dyDescent="0.3">
      <c r="A114" s="20" t="s">
        <v>121</v>
      </c>
      <c r="B114" s="141"/>
      <c r="C114" s="35" t="s">
        <v>150</v>
      </c>
      <c r="D114" s="35" t="s">
        <v>786</v>
      </c>
      <c r="E114" s="36" t="s">
        <v>1752</v>
      </c>
      <c r="F114" s="35" t="s">
        <v>1712</v>
      </c>
      <c r="G114" s="35" t="s">
        <v>1486</v>
      </c>
      <c r="H114" s="80">
        <v>7331423008414</v>
      </c>
      <c r="I114" s="80" t="s">
        <v>66</v>
      </c>
      <c r="J114" s="80">
        <v>7331423201587</v>
      </c>
      <c r="K114" s="80">
        <v>17331423201584</v>
      </c>
      <c r="L114" s="38" t="s">
        <v>148</v>
      </c>
      <c r="M114" s="38" t="s">
        <v>327</v>
      </c>
      <c r="N114" s="7">
        <v>2.99</v>
      </c>
      <c r="O114" s="37">
        <v>1</v>
      </c>
      <c r="P114" s="228">
        <v>9</v>
      </c>
      <c r="Q114" s="101">
        <f>CONVERT(9,"g","lbm")</f>
        <v>1.9841603596638981E-2</v>
      </c>
      <c r="R114" s="35">
        <f>CONVERT(17,"cm","in")</f>
        <v>6.6929133858267722</v>
      </c>
      <c r="S114" s="102">
        <v>1.5</v>
      </c>
      <c r="T114" s="103">
        <v>0.875</v>
      </c>
      <c r="U114" s="101">
        <f>CONVERT(675,"g","lbm")</f>
        <v>1.4881202697479237</v>
      </c>
      <c r="V114" s="102">
        <v>4.75</v>
      </c>
      <c r="W114" s="102">
        <v>4.75</v>
      </c>
      <c r="X114" s="103">
        <v>7.125</v>
      </c>
      <c r="Y114" s="46" t="s">
        <v>66</v>
      </c>
      <c r="Z114" s="35" t="s">
        <v>66</v>
      </c>
      <c r="AA114" s="35" t="s">
        <v>66</v>
      </c>
      <c r="AB114" s="72" t="s">
        <v>66</v>
      </c>
      <c r="AC114" s="46">
        <v>13.95</v>
      </c>
      <c r="AD114" s="35">
        <v>12.375</v>
      </c>
      <c r="AE114" s="35">
        <v>12.5</v>
      </c>
      <c r="AF114" s="72">
        <v>7.75</v>
      </c>
      <c r="AG114" s="46">
        <f>AD114*AE114*AF114/(12^3)</f>
        <v>0.69376627604166663</v>
      </c>
      <c r="AH114" s="39" t="s">
        <v>1892</v>
      </c>
      <c r="AI114" s="39" t="s">
        <v>1887</v>
      </c>
      <c r="AJ114" s="39" t="s">
        <v>875</v>
      </c>
      <c r="AK114" s="39" t="s">
        <v>1888</v>
      </c>
      <c r="AL114" s="39" t="s">
        <v>1889</v>
      </c>
      <c r="AM114" s="39" t="s">
        <v>680</v>
      </c>
      <c r="AN114" s="39" t="s">
        <v>1890</v>
      </c>
      <c r="AO114" s="39" t="s">
        <v>1891</v>
      </c>
      <c r="AP114" s="39" t="s">
        <v>109</v>
      </c>
      <c r="AQ114" s="20" t="s">
        <v>1839</v>
      </c>
      <c r="AR114" s="97" t="s">
        <v>1838</v>
      </c>
    </row>
    <row r="115" spans="1:44" s="20" customFormat="1" ht="13.8" x14ac:dyDescent="0.3">
      <c r="A115" s="20" t="s">
        <v>121</v>
      </c>
      <c r="B115" s="141"/>
      <c r="C115" s="35" t="s">
        <v>149</v>
      </c>
      <c r="D115" s="35" t="s">
        <v>371</v>
      </c>
      <c r="E115" s="36" t="s">
        <v>1751</v>
      </c>
      <c r="F115" s="35" t="s">
        <v>1727</v>
      </c>
      <c r="G115" s="35" t="s">
        <v>1486</v>
      </c>
      <c r="H115" s="80">
        <v>7331423006007</v>
      </c>
      <c r="I115" s="80" t="s">
        <v>66</v>
      </c>
      <c r="J115" s="80">
        <v>7331423006007</v>
      </c>
      <c r="K115" s="80">
        <v>17331423006007</v>
      </c>
      <c r="L115" s="38" t="s">
        <v>148</v>
      </c>
      <c r="M115" s="38" t="s">
        <v>327</v>
      </c>
      <c r="N115" s="7">
        <v>2.99</v>
      </c>
      <c r="O115" s="37">
        <v>1</v>
      </c>
      <c r="P115" s="228">
        <v>1</v>
      </c>
      <c r="Q115" s="101">
        <f>CONVERT(10,"g","lbm")</f>
        <v>2.2046226218487758E-2</v>
      </c>
      <c r="R115" s="35">
        <f>CONVERT(17,"cm","in")</f>
        <v>6.6929133858267722</v>
      </c>
      <c r="S115" s="102">
        <v>1.5</v>
      </c>
      <c r="T115" s="103">
        <v>0.875</v>
      </c>
      <c r="U115" s="101">
        <f>CONVERT(2650,"g","lbm")</f>
        <v>5.8422499478992558</v>
      </c>
      <c r="V115" s="102">
        <v>5.875</v>
      </c>
      <c r="W115" s="102">
        <v>5.875</v>
      </c>
      <c r="X115" s="103">
        <v>12.875</v>
      </c>
      <c r="Y115" s="46" t="s">
        <v>66</v>
      </c>
      <c r="Z115" s="35" t="s">
        <v>66</v>
      </c>
      <c r="AA115" s="35" t="s">
        <v>66</v>
      </c>
      <c r="AB115" s="72" t="s">
        <v>66</v>
      </c>
      <c r="AC115" s="46">
        <f>CONVERT(3.2,"kg","lbm")</f>
        <v>7.0547923899160825</v>
      </c>
      <c r="AD115" s="35">
        <f t="shared" ref="AD115:AE117" si="72">CONVERT(160,"mm","in")</f>
        <v>6.2992125984251972</v>
      </c>
      <c r="AE115" s="35">
        <f t="shared" si="72"/>
        <v>6.2992125984251972</v>
      </c>
      <c r="AF115" s="72">
        <f>CONVERT(360,"mm","in")</f>
        <v>14.173228346456694</v>
      </c>
      <c r="AG115" s="46">
        <f>AD115*AE115*AF115/(12^3)</f>
        <v>0.32545996850523884</v>
      </c>
      <c r="AH115" s="39" t="s">
        <v>1893</v>
      </c>
      <c r="AI115" s="39" t="s">
        <v>1887</v>
      </c>
      <c r="AJ115" s="39" t="s">
        <v>875</v>
      </c>
      <c r="AK115" s="39" t="s">
        <v>1888</v>
      </c>
      <c r="AL115" s="39" t="s">
        <v>1889</v>
      </c>
      <c r="AM115" s="39" t="s">
        <v>680</v>
      </c>
      <c r="AN115" s="39" t="s">
        <v>1890</v>
      </c>
      <c r="AO115" s="39" t="s">
        <v>1891</v>
      </c>
      <c r="AP115" s="39" t="s">
        <v>109</v>
      </c>
      <c r="AQ115" s="20" t="s">
        <v>1839</v>
      </c>
      <c r="AR115" s="97" t="s">
        <v>1838</v>
      </c>
    </row>
    <row r="116" spans="1:44" s="20" customFormat="1" ht="13.8" x14ac:dyDescent="0.3">
      <c r="A116" s="20" t="s">
        <v>121</v>
      </c>
      <c r="B116" s="141"/>
      <c r="C116" s="35" t="s">
        <v>149</v>
      </c>
      <c r="D116" s="35" t="s">
        <v>786</v>
      </c>
      <c r="E116" s="36" t="s">
        <v>1751</v>
      </c>
      <c r="F116" s="35" t="s">
        <v>1712</v>
      </c>
      <c r="G116" s="35" t="s">
        <v>1486</v>
      </c>
      <c r="H116" s="80">
        <v>7331423008438</v>
      </c>
      <c r="I116" s="80" t="s">
        <v>66</v>
      </c>
      <c r="J116" s="80">
        <v>7331423008438</v>
      </c>
      <c r="K116" s="80">
        <v>17331423200143</v>
      </c>
      <c r="L116" s="38" t="s">
        <v>148</v>
      </c>
      <c r="M116" s="38" t="s">
        <v>327</v>
      </c>
      <c r="N116" s="7">
        <v>2.99</v>
      </c>
      <c r="O116" s="37">
        <v>1</v>
      </c>
      <c r="P116" s="228">
        <v>1</v>
      </c>
      <c r="Q116" s="101">
        <f>CONVERT(10,"g","lbm")</f>
        <v>2.2046226218487758E-2</v>
      </c>
      <c r="R116" s="35">
        <f>CONVERT(17,"cm","in")</f>
        <v>6.6929133858267722</v>
      </c>
      <c r="S116" s="102">
        <v>1.5</v>
      </c>
      <c r="T116" s="103">
        <v>0.875</v>
      </c>
      <c r="U116" s="101">
        <f>CONVERT(2650,"g","lbm")</f>
        <v>5.8422499478992558</v>
      </c>
      <c r="V116" s="102">
        <v>5.875</v>
      </c>
      <c r="W116" s="102">
        <v>5.875</v>
      </c>
      <c r="X116" s="103">
        <v>12.875</v>
      </c>
      <c r="Y116" s="46" t="s">
        <v>66</v>
      </c>
      <c r="Z116" s="35" t="s">
        <v>66</v>
      </c>
      <c r="AA116" s="35" t="s">
        <v>66</v>
      </c>
      <c r="AB116" s="72" t="s">
        <v>66</v>
      </c>
      <c r="AC116" s="46">
        <f>CONVERT(3.2,"kg","lbm")</f>
        <v>7.0547923899160825</v>
      </c>
      <c r="AD116" s="35">
        <f t="shared" si="72"/>
        <v>6.2992125984251972</v>
      </c>
      <c r="AE116" s="35">
        <f t="shared" si="72"/>
        <v>6.2992125984251972</v>
      </c>
      <c r="AF116" s="72">
        <f>CONVERT(360,"mm","in")</f>
        <v>14.173228346456694</v>
      </c>
      <c r="AG116" s="46">
        <f>AD116*AE116*AF116/(12^3)</f>
        <v>0.32545996850523884</v>
      </c>
      <c r="AH116" s="39" t="s">
        <v>1893</v>
      </c>
      <c r="AI116" s="39" t="s">
        <v>1887</v>
      </c>
      <c r="AJ116" s="39" t="s">
        <v>875</v>
      </c>
      <c r="AK116" s="39" t="s">
        <v>1888</v>
      </c>
      <c r="AL116" s="39" t="s">
        <v>1889</v>
      </c>
      <c r="AM116" s="39" t="s">
        <v>680</v>
      </c>
      <c r="AN116" s="39" t="s">
        <v>1890</v>
      </c>
      <c r="AO116" s="39" t="s">
        <v>1891</v>
      </c>
      <c r="AP116" s="39" t="s">
        <v>109</v>
      </c>
      <c r="AQ116" s="20" t="s">
        <v>1839</v>
      </c>
      <c r="AR116" s="97" t="s">
        <v>1838</v>
      </c>
    </row>
    <row r="117" spans="1:44" s="20" customFormat="1" ht="13.8" x14ac:dyDescent="0.3">
      <c r="A117" s="20" t="s">
        <v>121</v>
      </c>
      <c r="B117" s="442" t="s">
        <v>1821</v>
      </c>
      <c r="C117" s="35" t="s">
        <v>149</v>
      </c>
      <c r="D117" s="135" t="s">
        <v>1819</v>
      </c>
      <c r="E117" s="36" t="s">
        <v>1751</v>
      </c>
      <c r="F117" s="35" t="s">
        <v>1811</v>
      </c>
      <c r="G117" s="35" t="s">
        <v>1486</v>
      </c>
      <c r="H117" s="268">
        <v>7331423010080</v>
      </c>
      <c r="I117" s="268">
        <v>7331423101689</v>
      </c>
      <c r="J117" s="268">
        <v>7331423202386</v>
      </c>
      <c r="K117" s="268">
        <v>17331423202468</v>
      </c>
      <c r="L117" s="38" t="s">
        <v>148</v>
      </c>
      <c r="M117" s="38" t="s">
        <v>327</v>
      </c>
      <c r="N117" s="7">
        <v>2.99</v>
      </c>
      <c r="O117" s="137">
        <v>1</v>
      </c>
      <c r="P117" s="229">
        <v>1</v>
      </c>
      <c r="Q117" s="101">
        <f>CONVERT(10,"g","lbm")</f>
        <v>2.2046226218487758E-2</v>
      </c>
      <c r="R117" s="35">
        <f>CONVERT(17,"cm","in")</f>
        <v>6.6929133858267722</v>
      </c>
      <c r="S117" s="102">
        <v>1.5</v>
      </c>
      <c r="T117" s="103">
        <v>0.875</v>
      </c>
      <c r="U117" s="101">
        <f>CONVERT(2650,"g","lbm")</f>
        <v>5.8422499478992558</v>
      </c>
      <c r="V117" s="102">
        <v>5.875</v>
      </c>
      <c r="W117" s="102">
        <v>5.875</v>
      </c>
      <c r="X117" s="103">
        <v>12.875</v>
      </c>
      <c r="Y117" s="134" t="s">
        <v>66</v>
      </c>
      <c r="Z117" s="135" t="s">
        <v>66</v>
      </c>
      <c r="AA117" s="135" t="s">
        <v>66</v>
      </c>
      <c r="AB117" s="136" t="s">
        <v>66</v>
      </c>
      <c r="AC117" s="46">
        <f>CONVERT(3.2,"kg","lbm")</f>
        <v>7.0547923899160825</v>
      </c>
      <c r="AD117" s="35">
        <f t="shared" si="72"/>
        <v>6.2992125984251972</v>
      </c>
      <c r="AE117" s="35">
        <f t="shared" si="72"/>
        <v>6.2992125984251972</v>
      </c>
      <c r="AF117" s="72">
        <f>CONVERT(360,"mm","in")</f>
        <v>14.173228346456694</v>
      </c>
      <c r="AG117" s="46">
        <f>AD117*AE117*AF117/(12^3)</f>
        <v>0.32545996850523884</v>
      </c>
      <c r="AH117" s="39" t="s">
        <v>1893</v>
      </c>
      <c r="AI117" s="39" t="s">
        <v>1887</v>
      </c>
      <c r="AJ117" s="39" t="s">
        <v>875</v>
      </c>
      <c r="AK117" s="39" t="s">
        <v>1888</v>
      </c>
      <c r="AL117" s="39" t="s">
        <v>1889</v>
      </c>
      <c r="AM117" s="39" t="s">
        <v>680</v>
      </c>
      <c r="AN117" s="39" t="s">
        <v>1890</v>
      </c>
      <c r="AO117" s="39" t="s">
        <v>1891</v>
      </c>
      <c r="AP117" s="39" t="s">
        <v>109</v>
      </c>
      <c r="AQ117" s="20" t="s">
        <v>1839</v>
      </c>
      <c r="AR117" s="97" t="s">
        <v>1838</v>
      </c>
    </row>
    <row r="118" spans="1:44" s="213" customFormat="1" x14ac:dyDescent="0.25">
      <c r="A118" s="213" t="s">
        <v>1450</v>
      </c>
      <c r="B118" s="369"/>
      <c r="C118" s="192"/>
      <c r="D118" s="35" t="s">
        <v>128</v>
      </c>
      <c r="E118" s="241"/>
      <c r="F118" s="192"/>
      <c r="G118" s="192"/>
      <c r="H118" s="221"/>
      <c r="I118" s="221"/>
      <c r="J118" s="221"/>
      <c r="K118" s="221"/>
      <c r="L118" s="211"/>
      <c r="M118" s="211"/>
      <c r="N118" s="215"/>
      <c r="O118" s="216"/>
      <c r="P118" s="275"/>
      <c r="Q118" s="192"/>
      <c r="R118" s="192"/>
      <c r="S118" s="192"/>
      <c r="T118" s="193"/>
      <c r="U118" s="46"/>
      <c r="V118" s="35"/>
      <c r="W118" s="35"/>
      <c r="X118" s="72"/>
      <c r="Y118" s="46"/>
      <c r="Z118" s="35"/>
      <c r="AA118" s="35"/>
      <c r="AB118" s="72"/>
      <c r="AC118" s="46"/>
      <c r="AD118" s="35"/>
      <c r="AE118" s="35"/>
      <c r="AF118" s="72"/>
      <c r="AG118" s="191"/>
      <c r="AH118" s="202"/>
      <c r="AI118" s="202"/>
      <c r="AJ118" s="202"/>
      <c r="AK118" s="225"/>
      <c r="AL118" s="225"/>
      <c r="AM118" s="225"/>
      <c r="AN118" s="225"/>
      <c r="AO118" s="225"/>
      <c r="AQ118" s="224"/>
    </row>
    <row r="119" spans="1:44" s="20" customFormat="1" ht="13.8" x14ac:dyDescent="0.3">
      <c r="A119" s="410" t="s">
        <v>121</v>
      </c>
      <c r="B119" s="411"/>
      <c r="C119" s="424" t="s">
        <v>312</v>
      </c>
      <c r="D119" s="412" t="s">
        <v>947</v>
      </c>
      <c r="E119" s="424" t="s">
        <v>1397</v>
      </c>
      <c r="F119" s="410" t="s">
        <v>1755</v>
      </c>
      <c r="G119" s="410" t="s">
        <v>1507</v>
      </c>
      <c r="H119" s="414">
        <v>7331423003860</v>
      </c>
      <c r="I119" s="414">
        <v>7331423003860</v>
      </c>
      <c r="J119" s="414">
        <v>7331423003860</v>
      </c>
      <c r="K119" s="414" t="s">
        <v>66</v>
      </c>
      <c r="L119" s="415" t="s">
        <v>148</v>
      </c>
      <c r="M119" s="415" t="s">
        <v>327</v>
      </c>
      <c r="N119" s="416">
        <v>7.99</v>
      </c>
      <c r="O119" s="417">
        <v>24</v>
      </c>
      <c r="P119" s="418">
        <v>144</v>
      </c>
      <c r="Q119" s="437">
        <f t="shared" ref="Q119:Q123" si="73">CONVERT(18,"g","lbm")</f>
        <v>3.9683207193277961E-2</v>
      </c>
      <c r="R119" s="412">
        <f>CONVERT(17,"cm","in")</f>
        <v>6.6929133858267722</v>
      </c>
      <c r="S119" s="438">
        <v>1.5</v>
      </c>
      <c r="T119" s="439">
        <v>1</v>
      </c>
      <c r="U119" s="419">
        <f>CONVERT(0.034,"kg","lbm")</f>
        <v>7.4957169142858382E-2</v>
      </c>
      <c r="V119" s="412">
        <f>CONVERT(65,"mm","in")</f>
        <v>2.5590551181102366</v>
      </c>
      <c r="W119" s="412">
        <f>CONVERT(29,"mm","in")</f>
        <v>1.1417322834645671</v>
      </c>
      <c r="X119" s="420">
        <f>CONVERT(242,"mm","in")</f>
        <v>9.5275590551181111</v>
      </c>
      <c r="Y119" s="419">
        <f>CONVERT(0.4762,"kg","lbm")</f>
        <v>1.049841292524387</v>
      </c>
      <c r="Z119" s="412">
        <f>CONVERT(146,"mm","in")</f>
        <v>5.7480314960629926</v>
      </c>
      <c r="AA119" s="412">
        <f>CONVERT(117,"mm","in")</f>
        <v>4.6062992125984259</v>
      </c>
      <c r="AB119" s="420">
        <f>CONVERT(247,"mm","in")</f>
        <v>9.7244094488188981</v>
      </c>
      <c r="AC119" s="419">
        <f>CONVERT(3.179,"kg","lbm")</f>
        <v>7.0084953148572575</v>
      </c>
      <c r="AD119" s="412">
        <f>CONVERT(350,"mm","in")</f>
        <v>13.779527559055117</v>
      </c>
      <c r="AE119" s="412">
        <f>CONVERT(305,"mm","in")</f>
        <v>12.007874015748031</v>
      </c>
      <c r="AF119" s="420">
        <f>CONVERT(261,"mm","in")</f>
        <v>10.275590551181102</v>
      </c>
      <c r="AG119" s="419">
        <f>AD119*AE119*AF119/(12^3)</f>
        <v>0.98392841552743471</v>
      </c>
      <c r="AH119" s="421" t="s">
        <v>1695</v>
      </c>
      <c r="AI119" s="410" t="s">
        <v>1904</v>
      </c>
      <c r="AJ119" s="421" t="s">
        <v>1887</v>
      </c>
      <c r="AK119" s="421" t="s">
        <v>875</v>
      </c>
      <c r="AL119" s="421" t="s">
        <v>1888</v>
      </c>
      <c r="AM119" s="421" t="s">
        <v>1889</v>
      </c>
      <c r="AN119" s="421" t="s">
        <v>1905</v>
      </c>
      <c r="AO119" s="421" t="s">
        <v>1891</v>
      </c>
      <c r="AP119" s="440" t="s">
        <v>1894</v>
      </c>
      <c r="AQ119" s="410" t="s">
        <v>1839</v>
      </c>
      <c r="AR119" s="422" t="s">
        <v>1838</v>
      </c>
    </row>
    <row r="120" spans="1:44" s="20" customFormat="1" ht="13.8" x14ac:dyDescent="0.3">
      <c r="A120" s="410" t="s">
        <v>121</v>
      </c>
      <c r="B120" s="411"/>
      <c r="C120" s="424" t="s">
        <v>312</v>
      </c>
      <c r="D120" s="412" t="s">
        <v>1754</v>
      </c>
      <c r="E120" s="424" t="s">
        <v>1397</v>
      </c>
      <c r="F120" s="410" t="s">
        <v>1757</v>
      </c>
      <c r="G120" s="410" t="s">
        <v>1507</v>
      </c>
      <c r="H120" s="414">
        <v>7331423006151</v>
      </c>
      <c r="I120" s="414">
        <v>7331423006151</v>
      </c>
      <c r="J120" s="414">
        <v>7331423006151</v>
      </c>
      <c r="K120" s="414" t="s">
        <v>66</v>
      </c>
      <c r="L120" s="415" t="s">
        <v>148</v>
      </c>
      <c r="M120" s="415" t="s">
        <v>327</v>
      </c>
      <c r="N120" s="416">
        <v>7.99</v>
      </c>
      <c r="O120" s="417">
        <v>24</v>
      </c>
      <c r="P120" s="418">
        <v>144</v>
      </c>
      <c r="Q120" s="437">
        <f t="shared" si="73"/>
        <v>3.9683207193277961E-2</v>
      </c>
      <c r="R120" s="412">
        <f>CONVERT(17,"cm","in")</f>
        <v>6.6929133858267722</v>
      </c>
      <c r="S120" s="438">
        <v>1.5</v>
      </c>
      <c r="T120" s="439">
        <v>1</v>
      </c>
      <c r="U120" s="419">
        <f>CONVERT(0.034,"kg","lbm")</f>
        <v>7.4957169142858382E-2</v>
      </c>
      <c r="V120" s="412">
        <f>CONVERT(65,"mm","in")</f>
        <v>2.5590551181102366</v>
      </c>
      <c r="W120" s="412">
        <f>CONVERT(29,"mm","in")</f>
        <v>1.1417322834645671</v>
      </c>
      <c r="X120" s="420">
        <f>CONVERT(242,"mm","in")</f>
        <v>9.5275590551181111</v>
      </c>
      <c r="Y120" s="419">
        <f>CONVERT(0.4762,"kg","lbm")</f>
        <v>1.049841292524387</v>
      </c>
      <c r="Z120" s="412">
        <f>CONVERT(146,"mm","in")</f>
        <v>5.7480314960629926</v>
      </c>
      <c r="AA120" s="412">
        <f>CONVERT(117,"mm","in")</f>
        <v>4.6062992125984259</v>
      </c>
      <c r="AB120" s="420">
        <f>CONVERT(247,"mm","in")</f>
        <v>9.7244094488188981</v>
      </c>
      <c r="AC120" s="419">
        <f>CONVERT(3.179,"kg","lbm")</f>
        <v>7.0084953148572575</v>
      </c>
      <c r="AD120" s="412">
        <f>CONVERT(350,"mm","in")</f>
        <v>13.779527559055117</v>
      </c>
      <c r="AE120" s="412">
        <f>CONVERT(305,"mm","in")</f>
        <v>12.007874015748031</v>
      </c>
      <c r="AF120" s="420">
        <f>CONVERT(261,"mm","in")</f>
        <v>10.275590551181102</v>
      </c>
      <c r="AG120" s="419">
        <f>AD120*AE120*AF120/(12^3)</f>
        <v>0.98392841552743471</v>
      </c>
      <c r="AH120" s="421" t="s">
        <v>1695</v>
      </c>
      <c r="AI120" s="410" t="s">
        <v>1904</v>
      </c>
      <c r="AJ120" s="421" t="s">
        <v>1887</v>
      </c>
      <c r="AK120" s="421" t="s">
        <v>875</v>
      </c>
      <c r="AL120" s="421" t="s">
        <v>1888</v>
      </c>
      <c r="AM120" s="421" t="s">
        <v>1889</v>
      </c>
      <c r="AN120" s="421" t="s">
        <v>1905</v>
      </c>
      <c r="AO120" s="421" t="s">
        <v>1891</v>
      </c>
      <c r="AP120" s="440" t="s">
        <v>1894</v>
      </c>
      <c r="AQ120" s="410" t="s">
        <v>1839</v>
      </c>
      <c r="AR120" s="422" t="s">
        <v>1838</v>
      </c>
    </row>
    <row r="121" spans="1:44" s="20" customFormat="1" ht="13.8" x14ac:dyDescent="0.3">
      <c r="A121" s="410" t="s">
        <v>121</v>
      </c>
      <c r="B121" s="411"/>
      <c r="C121" s="424" t="s">
        <v>312</v>
      </c>
      <c r="D121" s="412" t="s">
        <v>1753</v>
      </c>
      <c r="E121" s="424" t="s">
        <v>1397</v>
      </c>
      <c r="F121" s="410" t="s">
        <v>1758</v>
      </c>
      <c r="G121" s="410" t="s">
        <v>1507</v>
      </c>
      <c r="H121" s="414">
        <v>7331423006168</v>
      </c>
      <c r="I121" s="414">
        <v>7331423006168</v>
      </c>
      <c r="J121" s="414">
        <v>7331423006168</v>
      </c>
      <c r="K121" s="414" t="s">
        <v>66</v>
      </c>
      <c r="L121" s="415" t="s">
        <v>148</v>
      </c>
      <c r="M121" s="415" t="s">
        <v>327</v>
      </c>
      <c r="N121" s="416">
        <v>7.99</v>
      </c>
      <c r="O121" s="417">
        <v>24</v>
      </c>
      <c r="P121" s="418">
        <v>144</v>
      </c>
      <c r="Q121" s="437">
        <f t="shared" si="73"/>
        <v>3.9683207193277961E-2</v>
      </c>
      <c r="R121" s="412">
        <f>CONVERT(17,"cm","in")</f>
        <v>6.6929133858267722</v>
      </c>
      <c r="S121" s="438">
        <v>1.5</v>
      </c>
      <c r="T121" s="439">
        <v>1</v>
      </c>
      <c r="U121" s="419">
        <f>CONVERT(0.034,"kg","lbm")</f>
        <v>7.4957169142858382E-2</v>
      </c>
      <c r="V121" s="412">
        <f>CONVERT(65,"mm","in")</f>
        <v>2.5590551181102366</v>
      </c>
      <c r="W121" s="412">
        <f>CONVERT(29,"mm","in")</f>
        <v>1.1417322834645671</v>
      </c>
      <c r="X121" s="420">
        <f>CONVERT(242,"mm","in")</f>
        <v>9.5275590551181111</v>
      </c>
      <c r="Y121" s="419">
        <f>CONVERT(0.4762,"kg","lbm")</f>
        <v>1.049841292524387</v>
      </c>
      <c r="Z121" s="412">
        <f>CONVERT(146,"mm","in")</f>
        <v>5.7480314960629926</v>
      </c>
      <c r="AA121" s="412">
        <f>CONVERT(117,"mm","in")</f>
        <v>4.6062992125984259</v>
      </c>
      <c r="AB121" s="420">
        <f>CONVERT(247,"mm","in")</f>
        <v>9.7244094488188981</v>
      </c>
      <c r="AC121" s="419">
        <f>CONVERT(3.179,"kg","lbm")</f>
        <v>7.0084953148572575</v>
      </c>
      <c r="AD121" s="412">
        <f>CONVERT(350,"mm","in")</f>
        <v>13.779527559055117</v>
      </c>
      <c r="AE121" s="412">
        <f>CONVERT(305,"mm","in")</f>
        <v>12.007874015748031</v>
      </c>
      <c r="AF121" s="420">
        <f>CONVERT(261,"mm","in")</f>
        <v>10.275590551181102</v>
      </c>
      <c r="AG121" s="419">
        <f>AD121*AE121*AF121/(12^3)</f>
        <v>0.98392841552743471</v>
      </c>
      <c r="AH121" s="421" t="s">
        <v>1695</v>
      </c>
      <c r="AI121" s="410" t="s">
        <v>1904</v>
      </c>
      <c r="AJ121" s="421" t="s">
        <v>1887</v>
      </c>
      <c r="AK121" s="421" t="s">
        <v>875</v>
      </c>
      <c r="AL121" s="421" t="s">
        <v>1888</v>
      </c>
      <c r="AM121" s="421" t="s">
        <v>1889</v>
      </c>
      <c r="AN121" s="421" t="s">
        <v>1905</v>
      </c>
      <c r="AO121" s="421" t="s">
        <v>1891</v>
      </c>
      <c r="AP121" s="440" t="s">
        <v>1894</v>
      </c>
      <c r="AQ121" s="410" t="s">
        <v>1839</v>
      </c>
      <c r="AR121" s="422" t="s">
        <v>1838</v>
      </c>
    </row>
    <row r="122" spans="1:44" s="20" customFormat="1" ht="13.8" x14ac:dyDescent="0.3">
      <c r="A122" s="20" t="s">
        <v>121</v>
      </c>
      <c r="B122" s="141"/>
      <c r="C122" s="21" t="s">
        <v>312</v>
      </c>
      <c r="D122" s="35" t="s">
        <v>806</v>
      </c>
      <c r="E122" s="21" t="s">
        <v>1397</v>
      </c>
      <c r="F122" s="20" t="s">
        <v>791</v>
      </c>
      <c r="G122" s="20" t="s">
        <v>1507</v>
      </c>
      <c r="H122" s="80">
        <v>7331423009077</v>
      </c>
      <c r="I122" s="80">
        <v>7331423101344</v>
      </c>
      <c r="J122" s="80">
        <v>7331423201624</v>
      </c>
      <c r="K122" s="80">
        <v>17331423201621</v>
      </c>
      <c r="L122" s="38" t="s">
        <v>148</v>
      </c>
      <c r="M122" s="38" t="s">
        <v>327</v>
      </c>
      <c r="N122" s="7">
        <v>7.99</v>
      </c>
      <c r="O122" s="37">
        <v>12</v>
      </c>
      <c r="P122" s="228">
        <v>72</v>
      </c>
      <c r="Q122" s="101">
        <f t="shared" si="73"/>
        <v>3.9683207193277961E-2</v>
      </c>
      <c r="R122" s="35">
        <f>CONVERT(17,"cm","in")</f>
        <v>6.6929133858267722</v>
      </c>
      <c r="S122" s="102">
        <v>1.5</v>
      </c>
      <c r="T122" s="103">
        <v>1</v>
      </c>
      <c r="U122" s="46">
        <f>CONVERT(0.034,"kg","lbm")</f>
        <v>7.4957169142858382E-2</v>
      </c>
      <c r="V122" s="35">
        <f>CONVERT(65,"mm","in")</f>
        <v>2.5590551181102366</v>
      </c>
      <c r="W122" s="35">
        <f>CONVERT(29,"mm","in")</f>
        <v>1.1417322834645671</v>
      </c>
      <c r="X122" s="72">
        <f>CONVERT(242,"mm","in")</f>
        <v>9.5275590551181111</v>
      </c>
      <c r="Y122" s="46">
        <f>CONVERT(0.4762,"kg","lbm")</f>
        <v>1.049841292524387</v>
      </c>
      <c r="Z122" s="35">
        <f>CONVERT(146,"mm","in")</f>
        <v>5.7480314960629926</v>
      </c>
      <c r="AA122" s="35">
        <f>CONVERT(117,"mm","in")</f>
        <v>4.6062992125984259</v>
      </c>
      <c r="AB122" s="72">
        <f>CONVERT(247,"mm","in")</f>
        <v>9.7244094488188981</v>
      </c>
      <c r="AC122" s="46">
        <f>CONVERT(3.179,"kg","lbm")</f>
        <v>7.0084953148572575</v>
      </c>
      <c r="AD122" s="35">
        <f>CONVERT(350,"mm","in")</f>
        <v>13.779527559055117</v>
      </c>
      <c r="AE122" s="35">
        <f>CONVERT(305,"mm","in")</f>
        <v>12.007874015748031</v>
      </c>
      <c r="AF122" s="72">
        <f>CONVERT(261,"mm","in")</f>
        <v>10.275590551181102</v>
      </c>
      <c r="AG122" s="46">
        <f>AD122*AE122*AF122/(12^3)</f>
        <v>0.98392841552743471</v>
      </c>
      <c r="AH122" s="39" t="s">
        <v>1695</v>
      </c>
      <c r="AI122" s="20" t="s">
        <v>1904</v>
      </c>
      <c r="AJ122" s="39" t="s">
        <v>1887</v>
      </c>
      <c r="AK122" s="39" t="s">
        <v>875</v>
      </c>
      <c r="AL122" s="39" t="s">
        <v>1888</v>
      </c>
      <c r="AM122" s="39" t="s">
        <v>1889</v>
      </c>
      <c r="AN122" s="39" t="s">
        <v>1905</v>
      </c>
      <c r="AO122" s="39" t="s">
        <v>1891</v>
      </c>
      <c r="AP122" s="14" t="s">
        <v>1894</v>
      </c>
      <c r="AQ122" s="20" t="s">
        <v>1839</v>
      </c>
      <c r="AR122" s="97" t="s">
        <v>1838</v>
      </c>
    </row>
    <row r="123" spans="1:44" s="20" customFormat="1" ht="13.8" x14ac:dyDescent="0.3">
      <c r="A123" s="20" t="s">
        <v>121</v>
      </c>
      <c r="B123" s="141"/>
      <c r="C123" s="21" t="s">
        <v>312</v>
      </c>
      <c r="D123" s="35" t="s">
        <v>788</v>
      </c>
      <c r="E123" s="21" t="s">
        <v>1397</v>
      </c>
      <c r="F123" s="20" t="s">
        <v>1756</v>
      </c>
      <c r="G123" s="20" t="s">
        <v>1507</v>
      </c>
      <c r="H123" s="80">
        <v>7331423009084</v>
      </c>
      <c r="I123" s="80">
        <v>7331423101351</v>
      </c>
      <c r="J123" s="80">
        <v>7331423201631</v>
      </c>
      <c r="K123" s="80">
        <v>17331423201638</v>
      </c>
      <c r="L123" s="38" t="s">
        <v>148</v>
      </c>
      <c r="M123" s="38" t="s">
        <v>327</v>
      </c>
      <c r="N123" s="7">
        <v>7.99</v>
      </c>
      <c r="O123" s="37">
        <v>12</v>
      </c>
      <c r="P123" s="228">
        <v>72</v>
      </c>
      <c r="Q123" s="101">
        <f t="shared" si="73"/>
        <v>3.9683207193277961E-2</v>
      </c>
      <c r="R123" s="35">
        <f>CONVERT(17,"cm","in")</f>
        <v>6.6929133858267722</v>
      </c>
      <c r="S123" s="102">
        <v>1.5</v>
      </c>
      <c r="T123" s="103">
        <v>1</v>
      </c>
      <c r="U123" s="46">
        <f>CONVERT(0.034,"kg","lbm")</f>
        <v>7.4957169142858382E-2</v>
      </c>
      <c r="V123" s="35">
        <f>CONVERT(65,"mm","in")</f>
        <v>2.5590551181102366</v>
      </c>
      <c r="W123" s="35">
        <f>CONVERT(29,"mm","in")</f>
        <v>1.1417322834645671</v>
      </c>
      <c r="X123" s="72">
        <f>CONVERT(242,"mm","in")</f>
        <v>9.5275590551181111</v>
      </c>
      <c r="Y123" s="46">
        <f>CONVERT(0.4762,"kg","lbm")</f>
        <v>1.049841292524387</v>
      </c>
      <c r="Z123" s="35">
        <f>CONVERT(146,"mm","in")</f>
        <v>5.7480314960629926</v>
      </c>
      <c r="AA123" s="35">
        <f>CONVERT(117,"mm","in")</f>
        <v>4.6062992125984259</v>
      </c>
      <c r="AB123" s="72">
        <f>CONVERT(247,"mm","in")</f>
        <v>9.7244094488188981</v>
      </c>
      <c r="AC123" s="46">
        <f>CONVERT(3.179,"kg","lbm")</f>
        <v>7.0084953148572575</v>
      </c>
      <c r="AD123" s="35">
        <f>CONVERT(350,"mm","in")</f>
        <v>13.779527559055117</v>
      </c>
      <c r="AE123" s="35">
        <f>CONVERT(305,"mm","in")</f>
        <v>12.007874015748031</v>
      </c>
      <c r="AF123" s="72">
        <f>CONVERT(261,"mm","in")</f>
        <v>10.275590551181102</v>
      </c>
      <c r="AG123" s="46">
        <f>AD123*AE123*AF123/(12^3)</f>
        <v>0.98392841552743471</v>
      </c>
      <c r="AH123" s="39" t="s">
        <v>1695</v>
      </c>
      <c r="AI123" s="20" t="s">
        <v>1904</v>
      </c>
      <c r="AJ123" s="39" t="s">
        <v>1887</v>
      </c>
      <c r="AK123" s="39" t="s">
        <v>875</v>
      </c>
      <c r="AL123" s="39" t="s">
        <v>1888</v>
      </c>
      <c r="AM123" s="39" t="s">
        <v>1889</v>
      </c>
      <c r="AN123" s="39" t="s">
        <v>1905</v>
      </c>
      <c r="AO123" s="39" t="s">
        <v>1891</v>
      </c>
      <c r="AP123" s="14" t="s">
        <v>1894</v>
      </c>
      <c r="AQ123" s="20" t="s">
        <v>1839</v>
      </c>
      <c r="AR123" s="97" t="s">
        <v>1838</v>
      </c>
    </row>
    <row r="124" spans="1:44" s="213" customFormat="1" x14ac:dyDescent="0.25">
      <c r="A124" s="213" t="s">
        <v>1448</v>
      </c>
      <c r="B124" s="369"/>
      <c r="C124" s="190"/>
      <c r="D124" s="35" t="s">
        <v>128</v>
      </c>
      <c r="E124" s="242"/>
      <c r="H124" s="243"/>
      <c r="I124" s="243"/>
      <c r="J124" s="243"/>
      <c r="K124" s="243"/>
      <c r="L124" s="211"/>
      <c r="M124" s="211"/>
      <c r="N124" s="215"/>
      <c r="O124" s="216"/>
      <c r="P124" s="275"/>
      <c r="Q124" s="192"/>
      <c r="R124" s="192"/>
      <c r="S124" s="192"/>
      <c r="T124" s="193"/>
      <c r="U124" s="191"/>
      <c r="V124" s="192"/>
      <c r="W124" s="192"/>
      <c r="X124" s="193"/>
      <c r="Y124" s="191"/>
      <c r="Z124" s="192"/>
      <c r="AA124" s="192"/>
      <c r="AB124" s="193"/>
      <c r="AC124" s="191"/>
      <c r="AD124" s="192"/>
      <c r="AE124" s="192"/>
      <c r="AF124" s="193"/>
      <c r="AG124" s="191"/>
      <c r="AH124" s="202"/>
      <c r="AJ124" s="225"/>
      <c r="AK124" s="202"/>
      <c r="AL124" s="202"/>
      <c r="AM124" s="202"/>
      <c r="AN124" s="202"/>
      <c r="AO124" s="202"/>
      <c r="AP124" s="226"/>
      <c r="AQ124" s="224"/>
      <c r="AR124" s="220"/>
    </row>
    <row r="125" spans="1:44" s="20" customFormat="1" ht="13.8" x14ac:dyDescent="0.3">
      <c r="A125" s="20" t="s">
        <v>121</v>
      </c>
      <c r="B125" s="141"/>
      <c r="C125" s="21" t="s">
        <v>883</v>
      </c>
      <c r="D125" s="17" t="s">
        <v>806</v>
      </c>
      <c r="E125" s="21" t="s">
        <v>884</v>
      </c>
      <c r="F125" s="21" t="s">
        <v>791</v>
      </c>
      <c r="G125" s="20" t="s">
        <v>1507</v>
      </c>
      <c r="H125" s="79">
        <v>7331423008551</v>
      </c>
      <c r="I125" s="80">
        <v>7331423101450</v>
      </c>
      <c r="J125" s="80">
        <v>7331423201730</v>
      </c>
      <c r="K125" s="80">
        <v>17331423201737</v>
      </c>
      <c r="L125" s="29" t="s">
        <v>148</v>
      </c>
      <c r="M125" s="29" t="s">
        <v>327</v>
      </c>
      <c r="N125" s="7">
        <v>7.99</v>
      </c>
      <c r="O125" s="37">
        <v>12</v>
      </c>
      <c r="P125" s="228">
        <v>72</v>
      </c>
      <c r="Q125" s="101">
        <f>CONVERT(39,"g","lbm")</f>
        <v>8.5980282252102247E-2</v>
      </c>
      <c r="R125" s="35">
        <v>7.5</v>
      </c>
      <c r="S125" s="35">
        <v>1.8</v>
      </c>
      <c r="T125" s="72">
        <v>1.1000000000000001</v>
      </c>
      <c r="U125" s="46">
        <f>CONVERT(55,"g","lbm")</f>
        <v>0.12125424420168267</v>
      </c>
      <c r="V125" s="35">
        <v>2.5625</v>
      </c>
      <c r="W125" s="35">
        <v>1.5</v>
      </c>
      <c r="X125" s="72">
        <v>10.625</v>
      </c>
      <c r="Y125" s="101">
        <v>1.65</v>
      </c>
      <c r="Z125" s="102">
        <v>7.6875</v>
      </c>
      <c r="AA125" s="102">
        <v>4.75</v>
      </c>
      <c r="AB125" s="103">
        <v>10.875</v>
      </c>
      <c r="AC125" s="46">
        <v>10.95</v>
      </c>
      <c r="AD125" s="35">
        <v>15.25</v>
      </c>
      <c r="AE125" s="35">
        <v>14.5</v>
      </c>
      <c r="AF125" s="72">
        <v>11.5</v>
      </c>
      <c r="AG125" s="44">
        <f>AD125*AE125*AF125/(12^3)</f>
        <v>1.471607349537037</v>
      </c>
      <c r="AH125" s="20" t="s">
        <v>1897</v>
      </c>
      <c r="AI125" s="39" t="s">
        <v>1896</v>
      </c>
      <c r="AJ125" s="20" t="s">
        <v>1898</v>
      </c>
      <c r="AK125" s="39" t="s">
        <v>1899</v>
      </c>
      <c r="AL125" s="20" t="s">
        <v>680</v>
      </c>
      <c r="AM125" s="20" t="s">
        <v>1900</v>
      </c>
      <c r="AP125" s="14" t="s">
        <v>1895</v>
      </c>
      <c r="AQ125" s="20" t="s">
        <v>1839</v>
      </c>
      <c r="AR125" s="97" t="s">
        <v>1838</v>
      </c>
    </row>
    <row r="126" spans="1:44" s="20" customFormat="1" ht="13.8" x14ac:dyDescent="0.3">
      <c r="A126" s="20" t="s">
        <v>121</v>
      </c>
      <c r="B126" s="141"/>
      <c r="C126" s="21" t="s">
        <v>883</v>
      </c>
      <c r="D126" s="17" t="s">
        <v>811</v>
      </c>
      <c r="E126" s="21" t="s">
        <v>884</v>
      </c>
      <c r="F126" s="21" t="s">
        <v>815</v>
      </c>
      <c r="G126" s="20" t="s">
        <v>1507</v>
      </c>
      <c r="H126" s="80">
        <v>7331423008568</v>
      </c>
      <c r="I126" s="80">
        <v>7331423101467</v>
      </c>
      <c r="J126" s="80">
        <v>7331423201747</v>
      </c>
      <c r="K126" s="80">
        <v>17331423201744</v>
      </c>
      <c r="L126" s="29" t="s">
        <v>148</v>
      </c>
      <c r="M126" s="29" t="s">
        <v>327</v>
      </c>
      <c r="N126" s="7">
        <v>7.99</v>
      </c>
      <c r="O126" s="37">
        <v>12</v>
      </c>
      <c r="P126" s="228">
        <v>72</v>
      </c>
      <c r="Q126" s="101">
        <f>CONVERT(39,"g","lbm")</f>
        <v>8.5980282252102247E-2</v>
      </c>
      <c r="R126" s="35">
        <v>7.5</v>
      </c>
      <c r="S126" s="35">
        <v>1.8</v>
      </c>
      <c r="T126" s="72">
        <v>1.1000000000000001</v>
      </c>
      <c r="U126" s="46">
        <f>CONVERT(55,"g","lbm")</f>
        <v>0.12125424420168267</v>
      </c>
      <c r="V126" s="35">
        <v>2.5625</v>
      </c>
      <c r="W126" s="35">
        <v>1.5</v>
      </c>
      <c r="X126" s="72">
        <v>10.625</v>
      </c>
      <c r="Y126" s="101">
        <v>1.65</v>
      </c>
      <c r="Z126" s="102">
        <v>7.6875</v>
      </c>
      <c r="AA126" s="102">
        <v>4.75</v>
      </c>
      <c r="AB126" s="103">
        <v>10.875</v>
      </c>
      <c r="AC126" s="46">
        <v>10.95</v>
      </c>
      <c r="AD126" s="35">
        <v>15.25</v>
      </c>
      <c r="AE126" s="35">
        <v>14.5</v>
      </c>
      <c r="AF126" s="72">
        <v>11.5</v>
      </c>
      <c r="AG126" s="44">
        <f>AD126*AE126*AF126/(12^3)</f>
        <v>1.471607349537037</v>
      </c>
      <c r="AH126" s="20" t="s">
        <v>1897</v>
      </c>
      <c r="AI126" s="39" t="s">
        <v>1896</v>
      </c>
      <c r="AJ126" s="20" t="s">
        <v>1898</v>
      </c>
      <c r="AK126" s="39" t="s">
        <v>1899</v>
      </c>
      <c r="AL126" s="20" t="s">
        <v>680</v>
      </c>
      <c r="AM126" s="20" t="s">
        <v>1900</v>
      </c>
      <c r="AP126" s="14" t="s">
        <v>1895</v>
      </c>
      <c r="AQ126" s="20" t="s">
        <v>1839</v>
      </c>
      <c r="AR126" s="97" t="s">
        <v>1838</v>
      </c>
    </row>
    <row r="127" spans="1:44" s="20" customFormat="1" ht="13.8" x14ac:dyDescent="0.3">
      <c r="A127" s="20" t="s">
        <v>121</v>
      </c>
      <c r="B127" s="141"/>
      <c r="C127" s="21" t="s">
        <v>883</v>
      </c>
      <c r="D127" s="17" t="s">
        <v>788</v>
      </c>
      <c r="E127" s="21" t="s">
        <v>884</v>
      </c>
      <c r="F127" s="21" t="s">
        <v>1756</v>
      </c>
      <c r="G127" s="20" t="s">
        <v>1507</v>
      </c>
      <c r="H127" s="80">
        <v>7331423008575</v>
      </c>
      <c r="I127" s="80">
        <v>7331423101474</v>
      </c>
      <c r="J127" s="80">
        <v>7331423201754</v>
      </c>
      <c r="K127" s="80">
        <v>17331423201751</v>
      </c>
      <c r="L127" s="29" t="s">
        <v>148</v>
      </c>
      <c r="M127" s="29" t="s">
        <v>327</v>
      </c>
      <c r="N127" s="7">
        <v>7.99</v>
      </c>
      <c r="O127" s="37">
        <v>12</v>
      </c>
      <c r="P127" s="228">
        <v>72</v>
      </c>
      <c r="Q127" s="101">
        <f>CONVERT(39,"g","lbm")</f>
        <v>8.5980282252102247E-2</v>
      </c>
      <c r="R127" s="35">
        <v>7.5</v>
      </c>
      <c r="S127" s="35">
        <v>1.8</v>
      </c>
      <c r="T127" s="72">
        <v>1.1000000000000001</v>
      </c>
      <c r="U127" s="46">
        <f>CONVERT(55,"g","lbm")</f>
        <v>0.12125424420168267</v>
      </c>
      <c r="V127" s="35">
        <v>2.5625</v>
      </c>
      <c r="W127" s="35">
        <v>1.5</v>
      </c>
      <c r="X127" s="72">
        <v>10.625</v>
      </c>
      <c r="Y127" s="101">
        <v>1.65</v>
      </c>
      <c r="Z127" s="102">
        <v>7.6875</v>
      </c>
      <c r="AA127" s="102">
        <v>4.75</v>
      </c>
      <c r="AB127" s="103">
        <v>10.875</v>
      </c>
      <c r="AC127" s="46">
        <v>10.95</v>
      </c>
      <c r="AD127" s="35">
        <v>15.25</v>
      </c>
      <c r="AE127" s="35">
        <v>14.5</v>
      </c>
      <c r="AF127" s="72">
        <v>11.5</v>
      </c>
      <c r="AG127" s="44">
        <f>AD127*AE127*AF127/(12^3)</f>
        <v>1.471607349537037</v>
      </c>
      <c r="AH127" s="20" t="s">
        <v>1897</v>
      </c>
      <c r="AI127" s="39" t="s">
        <v>1896</v>
      </c>
      <c r="AJ127" s="20" t="s">
        <v>1898</v>
      </c>
      <c r="AK127" s="39" t="s">
        <v>1899</v>
      </c>
      <c r="AL127" s="20" t="s">
        <v>680</v>
      </c>
      <c r="AM127" s="20" t="s">
        <v>1900</v>
      </c>
      <c r="AP127" s="14" t="s">
        <v>1895</v>
      </c>
      <c r="AQ127" s="20" t="s">
        <v>1839</v>
      </c>
      <c r="AR127" s="97" t="s">
        <v>1838</v>
      </c>
    </row>
    <row r="128" spans="1:44" s="20" customFormat="1" ht="13.8" x14ac:dyDescent="0.3">
      <c r="A128" s="20" t="s">
        <v>121</v>
      </c>
      <c r="B128" s="141"/>
      <c r="C128" s="21" t="s">
        <v>883</v>
      </c>
      <c r="D128" s="17" t="s">
        <v>786</v>
      </c>
      <c r="E128" s="21" t="s">
        <v>884</v>
      </c>
      <c r="F128" s="21" t="s">
        <v>1722</v>
      </c>
      <c r="G128" s="20" t="s">
        <v>1507</v>
      </c>
      <c r="H128" s="80">
        <v>7331423008612</v>
      </c>
      <c r="I128" s="80">
        <v>7331423008582</v>
      </c>
      <c r="J128" s="80">
        <v>7331423201761</v>
      </c>
      <c r="K128" s="80">
        <v>17331423201768</v>
      </c>
      <c r="L128" s="29" t="s">
        <v>148</v>
      </c>
      <c r="M128" s="29" t="s">
        <v>327</v>
      </c>
      <c r="N128" s="7">
        <v>7.99</v>
      </c>
      <c r="O128" s="37">
        <v>12</v>
      </c>
      <c r="P128" s="228">
        <v>72</v>
      </c>
      <c r="Q128" s="101">
        <f>CONVERT(39,"g","lbm")</f>
        <v>8.5980282252102247E-2</v>
      </c>
      <c r="R128" s="35">
        <v>7.5</v>
      </c>
      <c r="S128" s="35">
        <v>1.8</v>
      </c>
      <c r="T128" s="72">
        <v>1.1000000000000001</v>
      </c>
      <c r="U128" s="46">
        <f>CONVERT(55,"g","lbm")</f>
        <v>0.12125424420168267</v>
      </c>
      <c r="V128" s="35">
        <v>2.5625</v>
      </c>
      <c r="W128" s="35">
        <v>1.5</v>
      </c>
      <c r="X128" s="72">
        <v>10.625</v>
      </c>
      <c r="Y128" s="101">
        <v>1.65</v>
      </c>
      <c r="Z128" s="102">
        <v>7.6875</v>
      </c>
      <c r="AA128" s="102">
        <v>4.75</v>
      </c>
      <c r="AB128" s="103">
        <v>10.875</v>
      </c>
      <c r="AC128" s="46">
        <v>10.95</v>
      </c>
      <c r="AD128" s="35">
        <v>15.25</v>
      </c>
      <c r="AE128" s="35">
        <v>14.5</v>
      </c>
      <c r="AF128" s="72">
        <v>11.5</v>
      </c>
      <c r="AG128" s="44">
        <f>AD128*AE128*AF128/(12^3)</f>
        <v>1.471607349537037</v>
      </c>
      <c r="AH128" s="20" t="s">
        <v>1897</v>
      </c>
      <c r="AI128" s="39" t="s">
        <v>1896</v>
      </c>
      <c r="AJ128" s="20" t="s">
        <v>1898</v>
      </c>
      <c r="AK128" s="39" t="s">
        <v>1899</v>
      </c>
      <c r="AL128" s="20" t="s">
        <v>680</v>
      </c>
      <c r="AM128" s="20" t="s">
        <v>1900</v>
      </c>
      <c r="AP128" s="14" t="s">
        <v>1895</v>
      </c>
      <c r="AQ128" s="20" t="s">
        <v>1839</v>
      </c>
      <c r="AR128" s="97" t="s">
        <v>1838</v>
      </c>
    </row>
    <row r="129" spans="1:44" s="213" customFormat="1" x14ac:dyDescent="0.25">
      <c r="A129" s="213" t="s">
        <v>1676</v>
      </c>
      <c r="B129" s="369"/>
      <c r="C129" s="192"/>
      <c r="D129" s="35" t="s">
        <v>128</v>
      </c>
      <c r="E129" s="241"/>
      <c r="F129" s="192"/>
      <c r="G129" s="192"/>
      <c r="H129" s="212"/>
      <c r="I129" s="212"/>
      <c r="J129" s="212"/>
      <c r="K129" s="212"/>
      <c r="L129" s="211"/>
      <c r="M129" s="211"/>
      <c r="N129" s="215"/>
      <c r="O129" s="216"/>
      <c r="P129" s="275"/>
      <c r="Q129" s="192"/>
      <c r="R129" s="192"/>
      <c r="S129" s="192"/>
      <c r="T129" s="193"/>
      <c r="U129" s="217"/>
      <c r="V129" s="218"/>
      <c r="W129" s="218"/>
      <c r="X129" s="219"/>
      <c r="Y129" s="217"/>
      <c r="Z129" s="218"/>
      <c r="AA129" s="218"/>
      <c r="AB129" s="219"/>
      <c r="AC129" s="191"/>
      <c r="AD129" s="192"/>
      <c r="AE129" s="192"/>
      <c r="AF129" s="193"/>
      <c r="AG129" s="191"/>
      <c r="AH129" s="202"/>
      <c r="AI129" s="202"/>
      <c r="AJ129" s="202"/>
      <c r="AK129" s="202"/>
      <c r="AL129" s="202"/>
      <c r="AM129" s="202"/>
      <c r="AN129" s="202"/>
      <c r="AO129" s="202"/>
      <c r="AP129" s="202"/>
      <c r="AQ129" s="224"/>
    </row>
    <row r="130" spans="1:44" s="20" customFormat="1" ht="13.8" x14ac:dyDescent="0.3">
      <c r="A130" s="410" t="s">
        <v>121</v>
      </c>
      <c r="B130" s="411"/>
      <c r="C130" s="412" t="s">
        <v>317</v>
      </c>
      <c r="D130" s="412" t="s">
        <v>371</v>
      </c>
      <c r="E130" s="413" t="s">
        <v>1394</v>
      </c>
      <c r="F130" s="412" t="s">
        <v>1727</v>
      </c>
      <c r="G130" s="412" t="s">
        <v>1485</v>
      </c>
      <c r="H130" s="414">
        <v>7331423007554</v>
      </c>
      <c r="I130" s="414">
        <v>7331423007554</v>
      </c>
      <c r="J130" s="414">
        <v>7331423007554</v>
      </c>
      <c r="K130" s="414" t="s">
        <v>66</v>
      </c>
      <c r="L130" s="415" t="s">
        <v>148</v>
      </c>
      <c r="M130" s="415" t="s">
        <v>327</v>
      </c>
      <c r="N130" s="416">
        <v>3.99</v>
      </c>
      <c r="O130" s="417">
        <v>25</v>
      </c>
      <c r="P130" s="418">
        <v>200</v>
      </c>
      <c r="Q130" s="419">
        <f>CONVERT(16,"g","lbm")</f>
        <v>3.5273961949580414E-2</v>
      </c>
      <c r="R130" s="412">
        <f t="shared" ref="R130" si="74">CONVERT(200,"mm","in")</f>
        <v>7.8740157480314963</v>
      </c>
      <c r="S130" s="412">
        <f t="shared" ref="S130" si="75">CONVERT(42,"mm","in")</f>
        <v>1.6535433070866143</v>
      </c>
      <c r="T130" s="420">
        <v>1</v>
      </c>
      <c r="U130" s="419">
        <f t="shared" ref="U130:U136" si="76">CONVERT(15,"g","lbm")</f>
        <v>3.3069339327731637E-2</v>
      </c>
      <c r="V130" s="412">
        <v>1.625</v>
      </c>
      <c r="W130" s="412">
        <v>1.25</v>
      </c>
      <c r="X130" s="420">
        <v>7.875</v>
      </c>
      <c r="Y130" s="437">
        <f t="shared" ref="Y130:Y136" si="77">CONVERT(390,"g","lbm")</f>
        <v>0.85980282252102258</v>
      </c>
      <c r="Z130" s="412">
        <v>3.5</v>
      </c>
      <c r="AA130" s="438">
        <v>1.625</v>
      </c>
      <c r="AB130" s="439">
        <v>7.875</v>
      </c>
      <c r="AC130" s="419">
        <f t="shared" ref="AC130:AC136" si="78">CONVERT(3390,"g","lbm")</f>
        <v>7.47367068806735</v>
      </c>
      <c r="AD130" s="412">
        <v>13.25</v>
      </c>
      <c r="AE130" s="412">
        <v>8.3125</v>
      </c>
      <c r="AF130" s="420">
        <v>4.125</v>
      </c>
      <c r="AG130" s="419">
        <f t="shared" ref="AG130:AG140" si="79">AD130*AE130*AF130/(12^3)</f>
        <v>0.26292249891493058</v>
      </c>
      <c r="AH130" s="421" t="s">
        <v>1902</v>
      </c>
      <c r="AI130" s="421" t="s">
        <v>1903</v>
      </c>
      <c r="AJ130" s="421" t="s">
        <v>1887</v>
      </c>
      <c r="AK130" s="421" t="s">
        <v>875</v>
      </c>
      <c r="AL130" s="421" t="s">
        <v>1906</v>
      </c>
      <c r="AM130" s="421" t="s">
        <v>1889</v>
      </c>
      <c r="AN130" s="421" t="s">
        <v>1905</v>
      </c>
      <c r="AO130" s="421" t="s">
        <v>1907</v>
      </c>
      <c r="AP130" s="421" t="s">
        <v>1901</v>
      </c>
      <c r="AQ130" s="410" t="s">
        <v>1839</v>
      </c>
      <c r="AR130" s="422" t="s">
        <v>1838</v>
      </c>
    </row>
    <row r="131" spans="1:44" s="16" customFormat="1" ht="13.8" x14ac:dyDescent="0.3">
      <c r="A131" s="16" t="s">
        <v>121</v>
      </c>
      <c r="B131" s="143"/>
      <c r="C131" s="35" t="s">
        <v>317</v>
      </c>
      <c r="D131" s="35" t="s">
        <v>92</v>
      </c>
      <c r="E131" s="18" t="s">
        <v>1394</v>
      </c>
      <c r="F131" s="17" t="s">
        <v>51</v>
      </c>
      <c r="G131" s="17" t="s">
        <v>1485</v>
      </c>
      <c r="H131" s="79">
        <v>7331423002429</v>
      </c>
      <c r="I131" s="408" t="s">
        <v>66</v>
      </c>
      <c r="J131" s="79">
        <v>7331423002429</v>
      </c>
      <c r="K131" s="80" t="s">
        <v>66</v>
      </c>
      <c r="L131" s="38" t="s">
        <v>148</v>
      </c>
      <c r="M131" s="29" t="s">
        <v>327</v>
      </c>
      <c r="N131" s="6">
        <v>3.99</v>
      </c>
      <c r="O131" s="37">
        <v>25</v>
      </c>
      <c r="P131" s="228">
        <v>200</v>
      </c>
      <c r="Q131" s="46">
        <f>CONVERT(16,"g","lbm")</f>
        <v>3.5273961949580414E-2</v>
      </c>
      <c r="R131" s="35">
        <f>CONVERT(200,"mm","in")</f>
        <v>7.8740157480314963</v>
      </c>
      <c r="S131" s="35">
        <f>CONVERT(42,"mm","in")</f>
        <v>1.6535433070866143</v>
      </c>
      <c r="T131" s="72">
        <v>1</v>
      </c>
      <c r="U131" s="46">
        <f t="shared" si="76"/>
        <v>3.3069339327731637E-2</v>
      </c>
      <c r="V131" s="35">
        <v>1.625</v>
      </c>
      <c r="W131" s="35">
        <v>1.25</v>
      </c>
      <c r="X131" s="72">
        <v>7.875</v>
      </c>
      <c r="Y131" s="101">
        <f t="shared" si="77"/>
        <v>0.85980282252102258</v>
      </c>
      <c r="Z131" s="35">
        <v>3.5</v>
      </c>
      <c r="AA131" s="102">
        <v>1.625</v>
      </c>
      <c r="AB131" s="103">
        <v>7.875</v>
      </c>
      <c r="AC131" s="46">
        <f t="shared" si="78"/>
        <v>7.47367068806735</v>
      </c>
      <c r="AD131" s="35">
        <v>13.25</v>
      </c>
      <c r="AE131" s="35">
        <v>8.3125</v>
      </c>
      <c r="AF131" s="72">
        <v>4.125</v>
      </c>
      <c r="AG131" s="44">
        <f t="shared" si="79"/>
        <v>0.26292249891493058</v>
      </c>
      <c r="AH131" s="39" t="s">
        <v>1902</v>
      </c>
      <c r="AI131" s="39" t="s">
        <v>1903</v>
      </c>
      <c r="AJ131" s="39" t="s">
        <v>1887</v>
      </c>
      <c r="AK131" s="39" t="s">
        <v>875</v>
      </c>
      <c r="AL131" s="39" t="s">
        <v>1906</v>
      </c>
      <c r="AM131" s="39" t="s">
        <v>1889</v>
      </c>
      <c r="AN131" s="39" t="s">
        <v>1905</v>
      </c>
      <c r="AO131" s="39" t="s">
        <v>1907</v>
      </c>
      <c r="AP131" s="39" t="s">
        <v>1901</v>
      </c>
      <c r="AQ131" s="20" t="s">
        <v>1839</v>
      </c>
      <c r="AR131" s="97" t="s">
        <v>1838</v>
      </c>
    </row>
    <row r="132" spans="1:44" s="16" customFormat="1" ht="13.8" x14ac:dyDescent="0.3">
      <c r="A132" s="16" t="s">
        <v>121</v>
      </c>
      <c r="B132" s="143"/>
      <c r="C132" s="35" t="s">
        <v>317</v>
      </c>
      <c r="D132" s="35" t="s">
        <v>89</v>
      </c>
      <c r="E132" s="18" t="s">
        <v>1394</v>
      </c>
      <c r="F132" s="17" t="s">
        <v>50</v>
      </c>
      <c r="G132" s="17" t="s">
        <v>1485</v>
      </c>
      <c r="H132" s="79">
        <v>7331423002436</v>
      </c>
      <c r="I132" s="408" t="s">
        <v>66</v>
      </c>
      <c r="J132" s="79">
        <v>7331423002436</v>
      </c>
      <c r="K132" s="408" t="s">
        <v>66</v>
      </c>
      <c r="L132" s="38" t="s">
        <v>148</v>
      </c>
      <c r="M132" s="29" t="s">
        <v>327</v>
      </c>
      <c r="N132" s="6">
        <v>3.99</v>
      </c>
      <c r="O132" s="37">
        <v>25</v>
      </c>
      <c r="P132" s="228">
        <v>200</v>
      </c>
      <c r="Q132" s="46">
        <f t="shared" ref="Q132:Q136" si="80">CONVERT(16,"g","lbm")</f>
        <v>3.5273961949580414E-2</v>
      </c>
      <c r="R132" s="35">
        <f t="shared" ref="R132:R140" si="81">CONVERT(200,"mm","in")</f>
        <v>7.8740157480314963</v>
      </c>
      <c r="S132" s="35">
        <f t="shared" ref="S132:S140" si="82">CONVERT(42,"mm","in")</f>
        <v>1.6535433070866143</v>
      </c>
      <c r="T132" s="72">
        <v>1</v>
      </c>
      <c r="U132" s="46">
        <f t="shared" si="76"/>
        <v>3.3069339327731637E-2</v>
      </c>
      <c r="V132" s="35">
        <v>1.625</v>
      </c>
      <c r="W132" s="35">
        <v>1.25</v>
      </c>
      <c r="X132" s="72">
        <v>7.875</v>
      </c>
      <c r="Y132" s="101">
        <f t="shared" si="77"/>
        <v>0.85980282252102258</v>
      </c>
      <c r="Z132" s="35">
        <v>3.5</v>
      </c>
      <c r="AA132" s="102">
        <v>1.625</v>
      </c>
      <c r="AB132" s="103">
        <v>7.875</v>
      </c>
      <c r="AC132" s="46">
        <f t="shared" si="78"/>
        <v>7.47367068806735</v>
      </c>
      <c r="AD132" s="35">
        <v>13.25</v>
      </c>
      <c r="AE132" s="35">
        <v>8.3125</v>
      </c>
      <c r="AF132" s="72">
        <v>4.125</v>
      </c>
      <c r="AG132" s="44">
        <f t="shared" si="79"/>
        <v>0.26292249891493058</v>
      </c>
      <c r="AH132" s="39" t="s">
        <v>1902</v>
      </c>
      <c r="AI132" s="39" t="s">
        <v>1903</v>
      </c>
      <c r="AJ132" s="39" t="s">
        <v>1887</v>
      </c>
      <c r="AK132" s="39" t="s">
        <v>875</v>
      </c>
      <c r="AL132" s="39" t="s">
        <v>1906</v>
      </c>
      <c r="AM132" s="39" t="s">
        <v>1889</v>
      </c>
      <c r="AN132" s="39" t="s">
        <v>1905</v>
      </c>
      <c r="AO132" s="39" t="s">
        <v>1907</v>
      </c>
      <c r="AP132" s="39" t="s">
        <v>1901</v>
      </c>
      <c r="AQ132" s="20" t="s">
        <v>1839</v>
      </c>
      <c r="AR132" s="97" t="s">
        <v>1838</v>
      </c>
    </row>
    <row r="133" spans="1:44" s="16" customFormat="1" ht="13.8" x14ac:dyDescent="0.3">
      <c r="A133" s="16" t="s">
        <v>121</v>
      </c>
      <c r="B133" s="143"/>
      <c r="C133" s="35" t="s">
        <v>317</v>
      </c>
      <c r="D133" s="35" t="s">
        <v>784</v>
      </c>
      <c r="E133" s="18" t="s">
        <v>1394</v>
      </c>
      <c r="F133" s="17" t="s">
        <v>882</v>
      </c>
      <c r="G133" s="17" t="s">
        <v>1485</v>
      </c>
      <c r="H133" s="268">
        <v>7331423002238</v>
      </c>
      <c r="I133" s="268"/>
      <c r="J133" s="268"/>
      <c r="K133" s="268"/>
      <c r="L133" s="38" t="s">
        <v>148</v>
      </c>
      <c r="M133" s="29" t="s">
        <v>327</v>
      </c>
      <c r="N133" s="6">
        <v>3.99</v>
      </c>
      <c r="O133" s="37">
        <v>25</v>
      </c>
      <c r="P133" s="228">
        <v>200</v>
      </c>
      <c r="Q133" s="46">
        <f t="shared" si="80"/>
        <v>3.5273961949580414E-2</v>
      </c>
      <c r="R133" s="35">
        <f t="shared" si="81"/>
        <v>7.8740157480314963</v>
      </c>
      <c r="S133" s="35">
        <f t="shared" si="82"/>
        <v>1.6535433070866143</v>
      </c>
      <c r="T133" s="72">
        <v>1</v>
      </c>
      <c r="U133" s="46">
        <f t="shared" si="76"/>
        <v>3.3069339327731637E-2</v>
      </c>
      <c r="V133" s="35">
        <v>1.625</v>
      </c>
      <c r="W133" s="35">
        <v>1.25</v>
      </c>
      <c r="X133" s="72">
        <v>7.875</v>
      </c>
      <c r="Y133" s="101">
        <f t="shared" si="77"/>
        <v>0.85980282252102258</v>
      </c>
      <c r="Z133" s="35">
        <v>3.5</v>
      </c>
      <c r="AA133" s="102">
        <v>1.625</v>
      </c>
      <c r="AB133" s="103">
        <v>7.875</v>
      </c>
      <c r="AC133" s="46">
        <f t="shared" si="78"/>
        <v>7.47367068806735</v>
      </c>
      <c r="AD133" s="35">
        <v>13.25</v>
      </c>
      <c r="AE133" s="35">
        <v>8.3125</v>
      </c>
      <c r="AF133" s="72">
        <v>4.125</v>
      </c>
      <c r="AG133" s="44">
        <f t="shared" si="79"/>
        <v>0.26292249891493058</v>
      </c>
      <c r="AH133" s="39" t="s">
        <v>1902</v>
      </c>
      <c r="AI133" s="39" t="s">
        <v>1903</v>
      </c>
      <c r="AJ133" s="39" t="s">
        <v>1887</v>
      </c>
      <c r="AK133" s="39" t="s">
        <v>875</v>
      </c>
      <c r="AL133" s="39" t="s">
        <v>1906</v>
      </c>
      <c r="AM133" s="39" t="s">
        <v>1889</v>
      </c>
      <c r="AN133" s="39" t="s">
        <v>1905</v>
      </c>
      <c r="AO133" s="39" t="s">
        <v>1907</v>
      </c>
      <c r="AP133" s="39" t="s">
        <v>1901</v>
      </c>
      <c r="AQ133" s="20" t="s">
        <v>1839</v>
      </c>
      <c r="AR133" s="97" t="s">
        <v>1838</v>
      </c>
    </row>
    <row r="134" spans="1:44" s="16" customFormat="1" ht="13.8" x14ac:dyDescent="0.3">
      <c r="A134" s="16" t="s">
        <v>121</v>
      </c>
      <c r="B134" s="143"/>
      <c r="C134" s="35" t="s">
        <v>317</v>
      </c>
      <c r="D134" s="35" t="s">
        <v>95</v>
      </c>
      <c r="E134" s="18" t="s">
        <v>1394</v>
      </c>
      <c r="F134" s="17" t="s">
        <v>111</v>
      </c>
      <c r="G134" s="17" t="s">
        <v>1485</v>
      </c>
      <c r="H134" s="429" t="s">
        <v>405</v>
      </c>
      <c r="I134" s="429" t="s">
        <v>66</v>
      </c>
      <c r="J134" s="429" t="s">
        <v>405</v>
      </c>
      <c r="K134" s="429" t="s">
        <v>66</v>
      </c>
      <c r="L134" s="38" t="s">
        <v>148</v>
      </c>
      <c r="M134" s="29" t="s">
        <v>327</v>
      </c>
      <c r="N134" s="6">
        <v>3.99</v>
      </c>
      <c r="O134" s="37">
        <v>25</v>
      </c>
      <c r="P134" s="228">
        <v>200</v>
      </c>
      <c r="Q134" s="46">
        <f t="shared" si="80"/>
        <v>3.5273961949580414E-2</v>
      </c>
      <c r="R134" s="35">
        <f t="shared" si="81"/>
        <v>7.8740157480314963</v>
      </c>
      <c r="S134" s="35">
        <f t="shared" si="82"/>
        <v>1.6535433070866143</v>
      </c>
      <c r="T134" s="72">
        <v>1</v>
      </c>
      <c r="U134" s="46">
        <f t="shared" si="76"/>
        <v>3.3069339327731637E-2</v>
      </c>
      <c r="V134" s="35">
        <v>1.625</v>
      </c>
      <c r="W134" s="35">
        <v>1.25</v>
      </c>
      <c r="X134" s="72">
        <v>7.875</v>
      </c>
      <c r="Y134" s="101">
        <f t="shared" si="77"/>
        <v>0.85980282252102258</v>
      </c>
      <c r="Z134" s="35">
        <v>3.5</v>
      </c>
      <c r="AA134" s="102">
        <v>1.625</v>
      </c>
      <c r="AB134" s="103">
        <v>7.875</v>
      </c>
      <c r="AC134" s="46">
        <f t="shared" si="78"/>
        <v>7.47367068806735</v>
      </c>
      <c r="AD134" s="35">
        <v>13.25</v>
      </c>
      <c r="AE134" s="35">
        <v>8.3125</v>
      </c>
      <c r="AF134" s="72">
        <v>4.125</v>
      </c>
      <c r="AG134" s="44">
        <f t="shared" si="79"/>
        <v>0.26292249891493058</v>
      </c>
      <c r="AH134" s="39" t="s">
        <v>1902</v>
      </c>
      <c r="AI134" s="39" t="s">
        <v>1903</v>
      </c>
      <c r="AJ134" s="39" t="s">
        <v>1887</v>
      </c>
      <c r="AK134" s="39" t="s">
        <v>875</v>
      </c>
      <c r="AL134" s="39" t="s">
        <v>1906</v>
      </c>
      <c r="AM134" s="39" t="s">
        <v>1889</v>
      </c>
      <c r="AN134" s="39" t="s">
        <v>1905</v>
      </c>
      <c r="AO134" s="39" t="s">
        <v>1907</v>
      </c>
      <c r="AP134" s="39" t="s">
        <v>1901</v>
      </c>
      <c r="AQ134" s="20" t="s">
        <v>1839</v>
      </c>
      <c r="AR134" s="97" t="s">
        <v>1838</v>
      </c>
    </row>
    <row r="135" spans="1:44" s="16" customFormat="1" ht="13.8" x14ac:dyDescent="0.3">
      <c r="A135" s="16" t="s">
        <v>121</v>
      </c>
      <c r="B135" s="143"/>
      <c r="C135" s="35" t="s">
        <v>317</v>
      </c>
      <c r="D135" s="35" t="s">
        <v>348</v>
      </c>
      <c r="E135" s="18" t="s">
        <v>1394</v>
      </c>
      <c r="F135" s="17" t="s">
        <v>349</v>
      </c>
      <c r="G135" s="17" t="s">
        <v>1485</v>
      </c>
      <c r="H135" s="32">
        <v>7331423007516</v>
      </c>
      <c r="I135" s="429" t="s">
        <v>66</v>
      </c>
      <c r="J135" s="32">
        <v>7331423007516</v>
      </c>
      <c r="K135" s="429" t="s">
        <v>66</v>
      </c>
      <c r="L135" s="38" t="s">
        <v>148</v>
      </c>
      <c r="M135" s="29" t="s">
        <v>327</v>
      </c>
      <c r="N135" s="6">
        <v>3.99</v>
      </c>
      <c r="O135" s="37">
        <v>25</v>
      </c>
      <c r="P135" s="228">
        <v>200</v>
      </c>
      <c r="Q135" s="46">
        <f t="shared" si="80"/>
        <v>3.5273961949580414E-2</v>
      </c>
      <c r="R135" s="35">
        <f t="shared" si="81"/>
        <v>7.8740157480314963</v>
      </c>
      <c r="S135" s="35">
        <f t="shared" si="82"/>
        <v>1.6535433070866143</v>
      </c>
      <c r="T135" s="72">
        <v>1</v>
      </c>
      <c r="U135" s="46">
        <f t="shared" si="76"/>
        <v>3.3069339327731637E-2</v>
      </c>
      <c r="V135" s="35">
        <v>1.625</v>
      </c>
      <c r="W135" s="35">
        <v>1.25</v>
      </c>
      <c r="X135" s="72">
        <v>7.875</v>
      </c>
      <c r="Y135" s="101">
        <f t="shared" si="77"/>
        <v>0.85980282252102258</v>
      </c>
      <c r="Z135" s="35">
        <v>3.5</v>
      </c>
      <c r="AA135" s="102">
        <v>1.625</v>
      </c>
      <c r="AB135" s="103">
        <v>7.875</v>
      </c>
      <c r="AC135" s="46">
        <f t="shared" si="78"/>
        <v>7.47367068806735</v>
      </c>
      <c r="AD135" s="35">
        <v>13.25</v>
      </c>
      <c r="AE135" s="35">
        <v>8.3125</v>
      </c>
      <c r="AF135" s="72">
        <v>4.125</v>
      </c>
      <c r="AG135" s="44">
        <f t="shared" si="79"/>
        <v>0.26292249891493058</v>
      </c>
      <c r="AH135" s="39" t="s">
        <v>1902</v>
      </c>
      <c r="AI135" s="39" t="s">
        <v>1903</v>
      </c>
      <c r="AJ135" s="39" t="s">
        <v>1887</v>
      </c>
      <c r="AK135" s="39" t="s">
        <v>875</v>
      </c>
      <c r="AL135" s="39" t="s">
        <v>1906</v>
      </c>
      <c r="AM135" s="39" t="s">
        <v>1889</v>
      </c>
      <c r="AN135" s="39" t="s">
        <v>1905</v>
      </c>
      <c r="AO135" s="39" t="s">
        <v>1907</v>
      </c>
      <c r="AP135" s="39" t="s">
        <v>1901</v>
      </c>
      <c r="AQ135" s="20" t="s">
        <v>1839</v>
      </c>
      <c r="AR135" s="97" t="s">
        <v>1838</v>
      </c>
    </row>
    <row r="136" spans="1:44" s="16" customFormat="1" ht="13.8" x14ac:dyDescent="0.3">
      <c r="A136" s="16" t="s">
        <v>121</v>
      </c>
      <c r="B136" s="143"/>
      <c r="C136" s="35" t="s">
        <v>317</v>
      </c>
      <c r="D136" s="35" t="s">
        <v>786</v>
      </c>
      <c r="E136" s="18" t="s">
        <v>1394</v>
      </c>
      <c r="F136" s="135" t="s">
        <v>1700</v>
      </c>
      <c r="G136" s="35" t="s">
        <v>1485</v>
      </c>
      <c r="H136" s="269"/>
      <c r="I136" s="269"/>
      <c r="J136" s="269"/>
      <c r="K136" s="269"/>
      <c r="L136" s="38" t="s">
        <v>148</v>
      </c>
      <c r="M136" s="29" t="s">
        <v>327</v>
      </c>
      <c r="N136" s="6">
        <v>3.99</v>
      </c>
      <c r="O136" s="37">
        <v>25</v>
      </c>
      <c r="P136" s="228">
        <v>200</v>
      </c>
      <c r="Q136" s="46">
        <f t="shared" si="80"/>
        <v>3.5273961949580414E-2</v>
      </c>
      <c r="R136" s="35">
        <f t="shared" si="81"/>
        <v>7.8740157480314963</v>
      </c>
      <c r="S136" s="35">
        <f t="shared" si="82"/>
        <v>1.6535433070866143</v>
      </c>
      <c r="T136" s="72">
        <v>1</v>
      </c>
      <c r="U136" s="46">
        <f t="shared" si="76"/>
        <v>3.3069339327731637E-2</v>
      </c>
      <c r="V136" s="35">
        <v>1.625</v>
      </c>
      <c r="W136" s="35">
        <v>1.25</v>
      </c>
      <c r="X136" s="72">
        <v>7.875</v>
      </c>
      <c r="Y136" s="101">
        <f t="shared" si="77"/>
        <v>0.85980282252102258</v>
      </c>
      <c r="Z136" s="35">
        <v>3.5</v>
      </c>
      <c r="AA136" s="102">
        <v>1.625</v>
      </c>
      <c r="AB136" s="103">
        <v>7.875</v>
      </c>
      <c r="AC136" s="46">
        <f t="shared" si="78"/>
        <v>7.47367068806735</v>
      </c>
      <c r="AD136" s="35">
        <v>13.25</v>
      </c>
      <c r="AE136" s="35">
        <v>8.3125</v>
      </c>
      <c r="AF136" s="72">
        <v>4.125</v>
      </c>
      <c r="AG136" s="44">
        <f t="shared" si="79"/>
        <v>0.26292249891493058</v>
      </c>
      <c r="AH136" s="39" t="s">
        <v>1902</v>
      </c>
      <c r="AI136" s="39" t="s">
        <v>1903</v>
      </c>
      <c r="AJ136" s="39" t="s">
        <v>1887</v>
      </c>
      <c r="AK136" s="39" t="s">
        <v>875</v>
      </c>
      <c r="AL136" s="39" t="s">
        <v>1906</v>
      </c>
      <c r="AM136" s="39" t="s">
        <v>1889</v>
      </c>
      <c r="AN136" s="39" t="s">
        <v>1905</v>
      </c>
      <c r="AO136" s="39" t="s">
        <v>1907</v>
      </c>
      <c r="AP136" s="39" t="s">
        <v>1901</v>
      </c>
      <c r="AQ136" s="20" t="s">
        <v>1839</v>
      </c>
      <c r="AR136" s="97" t="s">
        <v>1838</v>
      </c>
    </row>
    <row r="137" spans="1:44" s="20" customFormat="1" ht="13.8" x14ac:dyDescent="0.3">
      <c r="A137" s="20" t="s">
        <v>121</v>
      </c>
      <c r="B137" s="141"/>
      <c r="C137" s="35" t="s">
        <v>822</v>
      </c>
      <c r="D137" s="17" t="s">
        <v>820</v>
      </c>
      <c r="E137" s="18" t="s">
        <v>1395</v>
      </c>
      <c r="F137" s="35" t="s">
        <v>825</v>
      </c>
      <c r="G137" s="35" t="s">
        <v>1507</v>
      </c>
      <c r="H137" s="80">
        <v>7331423009039</v>
      </c>
      <c r="I137" s="80">
        <v>7331423101368</v>
      </c>
      <c r="J137" s="80">
        <v>7331423201648</v>
      </c>
      <c r="K137" s="80">
        <v>17331423201645</v>
      </c>
      <c r="L137" s="38" t="s">
        <v>148</v>
      </c>
      <c r="M137" s="29" t="s">
        <v>327</v>
      </c>
      <c r="N137" s="7">
        <v>7.99</v>
      </c>
      <c r="O137" s="37">
        <v>12</v>
      </c>
      <c r="P137" s="228">
        <v>72</v>
      </c>
      <c r="Q137" s="46">
        <f>CONVERT(32,"g","lbm")</f>
        <v>7.0547923899160828E-2</v>
      </c>
      <c r="R137" s="35">
        <f t="shared" si="81"/>
        <v>7.8740157480314963</v>
      </c>
      <c r="S137" s="35">
        <f t="shared" si="82"/>
        <v>1.6535433070866143</v>
      </c>
      <c r="T137" s="72">
        <v>1.125</v>
      </c>
      <c r="U137" s="46">
        <v>0.1</v>
      </c>
      <c r="V137" s="35">
        <v>2.5625</v>
      </c>
      <c r="W137" s="35">
        <v>1.25</v>
      </c>
      <c r="X137" s="72">
        <v>10.625</v>
      </c>
      <c r="Y137" s="46">
        <v>1.45</v>
      </c>
      <c r="Z137" s="35">
        <v>7.75</v>
      </c>
      <c r="AA137" s="35">
        <v>4.75</v>
      </c>
      <c r="AB137" s="72">
        <v>11</v>
      </c>
      <c r="AC137" s="95">
        <v>9.4499999999999993</v>
      </c>
      <c r="AD137" s="91">
        <v>15.75</v>
      </c>
      <c r="AE137" s="91">
        <v>14.75</v>
      </c>
      <c r="AF137" s="72">
        <v>11.5</v>
      </c>
      <c r="AG137" s="44">
        <f t="shared" si="79"/>
        <v>1.5460611979166667</v>
      </c>
      <c r="AH137" s="39" t="s">
        <v>1693</v>
      </c>
      <c r="AI137" s="39" t="s">
        <v>1903</v>
      </c>
      <c r="AJ137" s="39" t="s">
        <v>1887</v>
      </c>
      <c r="AK137" s="39" t="s">
        <v>875</v>
      </c>
      <c r="AL137" s="39" t="s">
        <v>1906</v>
      </c>
      <c r="AM137" s="39" t="s">
        <v>1889</v>
      </c>
      <c r="AN137" s="39" t="s">
        <v>1905</v>
      </c>
      <c r="AO137" s="39" t="s">
        <v>1907</v>
      </c>
      <c r="AP137" s="39" t="s">
        <v>1901</v>
      </c>
      <c r="AQ137" s="20" t="s">
        <v>1839</v>
      </c>
      <c r="AR137" s="97" t="s">
        <v>1838</v>
      </c>
    </row>
    <row r="138" spans="1:44" s="20" customFormat="1" ht="13.8" x14ac:dyDescent="0.3">
      <c r="A138" s="20" t="s">
        <v>121</v>
      </c>
      <c r="B138" s="141"/>
      <c r="C138" s="35" t="s">
        <v>822</v>
      </c>
      <c r="D138" s="17" t="s">
        <v>821</v>
      </c>
      <c r="E138" s="18" t="s">
        <v>1395</v>
      </c>
      <c r="F138" s="35" t="s">
        <v>819</v>
      </c>
      <c r="G138" s="35" t="s">
        <v>1507</v>
      </c>
      <c r="H138" s="80">
        <v>7331423009046</v>
      </c>
      <c r="I138" s="80">
        <v>7331423101375</v>
      </c>
      <c r="J138" s="80">
        <v>7331423201655</v>
      </c>
      <c r="K138" s="80">
        <v>17331423201652</v>
      </c>
      <c r="L138" s="38" t="s">
        <v>148</v>
      </c>
      <c r="M138" s="29" t="s">
        <v>327</v>
      </c>
      <c r="N138" s="7">
        <v>7.99</v>
      </c>
      <c r="O138" s="37">
        <v>12</v>
      </c>
      <c r="P138" s="228">
        <v>72</v>
      </c>
      <c r="Q138" s="46">
        <f>CONVERT(32,"g","lbm")</f>
        <v>7.0547923899160828E-2</v>
      </c>
      <c r="R138" s="35">
        <f t="shared" si="81"/>
        <v>7.8740157480314963</v>
      </c>
      <c r="S138" s="35">
        <f t="shared" si="82"/>
        <v>1.6535433070866143</v>
      </c>
      <c r="T138" s="72">
        <v>1.125</v>
      </c>
      <c r="U138" s="46">
        <v>0.1</v>
      </c>
      <c r="V138" s="35">
        <v>2.5625</v>
      </c>
      <c r="W138" s="35">
        <v>1.25</v>
      </c>
      <c r="X138" s="72">
        <v>10.625</v>
      </c>
      <c r="Y138" s="46">
        <v>1.45</v>
      </c>
      <c r="Z138" s="35">
        <v>7.75</v>
      </c>
      <c r="AA138" s="35">
        <v>4.75</v>
      </c>
      <c r="AB138" s="72">
        <v>11</v>
      </c>
      <c r="AC138" s="95">
        <v>9.4499999999999993</v>
      </c>
      <c r="AD138" s="91">
        <v>15.75</v>
      </c>
      <c r="AE138" s="91">
        <v>14.75</v>
      </c>
      <c r="AF138" s="72">
        <v>11.5</v>
      </c>
      <c r="AG138" s="44">
        <f t="shared" si="79"/>
        <v>1.5460611979166667</v>
      </c>
      <c r="AH138" s="39" t="s">
        <v>1693</v>
      </c>
      <c r="AI138" s="39" t="s">
        <v>1903</v>
      </c>
      <c r="AJ138" s="39" t="s">
        <v>1887</v>
      </c>
      <c r="AK138" s="39" t="s">
        <v>875</v>
      </c>
      <c r="AL138" s="39" t="s">
        <v>1906</v>
      </c>
      <c r="AM138" s="39" t="s">
        <v>1889</v>
      </c>
      <c r="AN138" s="39" t="s">
        <v>1905</v>
      </c>
      <c r="AO138" s="39" t="s">
        <v>1907</v>
      </c>
      <c r="AP138" s="39" t="s">
        <v>1901</v>
      </c>
      <c r="AQ138" s="20" t="s">
        <v>1839</v>
      </c>
      <c r="AR138" s="97" t="s">
        <v>1838</v>
      </c>
    </row>
    <row r="139" spans="1:44" s="20" customFormat="1" ht="13.8" x14ac:dyDescent="0.3">
      <c r="A139" s="20" t="s">
        <v>121</v>
      </c>
      <c r="B139" s="141"/>
      <c r="C139" s="35" t="s">
        <v>822</v>
      </c>
      <c r="D139" s="17" t="s">
        <v>824</v>
      </c>
      <c r="E139" s="18" t="s">
        <v>1395</v>
      </c>
      <c r="F139" s="35" t="s">
        <v>823</v>
      </c>
      <c r="G139" s="35" t="s">
        <v>1507</v>
      </c>
      <c r="H139" s="80">
        <v>7331423008476</v>
      </c>
      <c r="I139" s="80">
        <v>7331423101382</v>
      </c>
      <c r="J139" s="80">
        <v>7331423201662</v>
      </c>
      <c r="K139" s="80">
        <v>17331423201669</v>
      </c>
      <c r="L139" s="38" t="s">
        <v>148</v>
      </c>
      <c r="M139" s="29" t="s">
        <v>327</v>
      </c>
      <c r="N139" s="7">
        <v>7.99</v>
      </c>
      <c r="O139" s="37">
        <v>12</v>
      </c>
      <c r="P139" s="228">
        <v>72</v>
      </c>
      <c r="Q139" s="46">
        <f>CONVERT(32,"g","lbm")</f>
        <v>7.0547923899160828E-2</v>
      </c>
      <c r="R139" s="35">
        <f t="shared" si="81"/>
        <v>7.8740157480314963</v>
      </c>
      <c r="S139" s="35">
        <f t="shared" si="82"/>
        <v>1.6535433070866143</v>
      </c>
      <c r="T139" s="72">
        <v>1.125</v>
      </c>
      <c r="U139" s="46">
        <v>0.1</v>
      </c>
      <c r="V139" s="35">
        <v>2.5625</v>
      </c>
      <c r="W139" s="35">
        <v>1.25</v>
      </c>
      <c r="X139" s="72">
        <v>10.625</v>
      </c>
      <c r="Y139" s="46">
        <v>1.45</v>
      </c>
      <c r="Z139" s="35">
        <v>7.75</v>
      </c>
      <c r="AA139" s="35">
        <v>4.75</v>
      </c>
      <c r="AB139" s="72">
        <v>11</v>
      </c>
      <c r="AC139" s="95">
        <v>9.4499999999999993</v>
      </c>
      <c r="AD139" s="91">
        <v>15.75</v>
      </c>
      <c r="AE139" s="91">
        <v>14.75</v>
      </c>
      <c r="AF139" s="72">
        <v>11.5</v>
      </c>
      <c r="AG139" s="44">
        <f t="shared" si="79"/>
        <v>1.5460611979166667</v>
      </c>
      <c r="AH139" s="39" t="s">
        <v>1693</v>
      </c>
      <c r="AI139" s="39" t="s">
        <v>1903</v>
      </c>
      <c r="AJ139" s="39" t="s">
        <v>1887</v>
      </c>
      <c r="AK139" s="39" t="s">
        <v>875</v>
      </c>
      <c r="AL139" s="39" t="s">
        <v>1906</v>
      </c>
      <c r="AM139" s="39" t="s">
        <v>1889</v>
      </c>
      <c r="AN139" s="39" t="s">
        <v>1905</v>
      </c>
      <c r="AO139" s="39" t="s">
        <v>1907</v>
      </c>
      <c r="AP139" s="39" t="s">
        <v>1901</v>
      </c>
      <c r="AQ139" s="20" t="s">
        <v>1839</v>
      </c>
      <c r="AR139" s="97" t="s">
        <v>1838</v>
      </c>
    </row>
    <row r="140" spans="1:44" s="20" customFormat="1" ht="13.8" x14ac:dyDescent="0.3">
      <c r="A140" s="20" t="s">
        <v>121</v>
      </c>
      <c r="B140" s="141"/>
      <c r="C140" s="35" t="s">
        <v>822</v>
      </c>
      <c r="D140" s="17" t="s">
        <v>786</v>
      </c>
      <c r="E140" s="18" t="s">
        <v>1395</v>
      </c>
      <c r="F140" s="35" t="s">
        <v>1759</v>
      </c>
      <c r="G140" s="35" t="s">
        <v>1507</v>
      </c>
      <c r="H140" s="80">
        <v>7331423009060</v>
      </c>
      <c r="I140" s="80">
        <v>7331423009060</v>
      </c>
      <c r="J140" s="80">
        <v>7331423201686</v>
      </c>
      <c r="K140" s="80">
        <v>17331423201683</v>
      </c>
      <c r="L140" s="38" t="s">
        <v>148</v>
      </c>
      <c r="M140" s="29" t="s">
        <v>327</v>
      </c>
      <c r="N140" s="7">
        <v>7.99</v>
      </c>
      <c r="O140" s="37">
        <v>12</v>
      </c>
      <c r="P140" s="228">
        <v>72</v>
      </c>
      <c r="Q140" s="46">
        <f>CONVERT(32,"g","lbm")</f>
        <v>7.0547923899160828E-2</v>
      </c>
      <c r="R140" s="35">
        <f t="shared" si="81"/>
        <v>7.8740157480314963</v>
      </c>
      <c r="S140" s="35">
        <f t="shared" si="82"/>
        <v>1.6535433070866143</v>
      </c>
      <c r="T140" s="72">
        <v>1.125</v>
      </c>
      <c r="U140" s="46">
        <v>0.1</v>
      </c>
      <c r="V140" s="35">
        <v>2.5625</v>
      </c>
      <c r="W140" s="35">
        <v>1.25</v>
      </c>
      <c r="X140" s="72">
        <v>10.625</v>
      </c>
      <c r="Y140" s="46">
        <v>1.45</v>
      </c>
      <c r="Z140" s="35">
        <v>7.75</v>
      </c>
      <c r="AA140" s="35">
        <v>4.75</v>
      </c>
      <c r="AB140" s="72">
        <v>11</v>
      </c>
      <c r="AC140" s="95">
        <v>9.4499999999999993</v>
      </c>
      <c r="AD140" s="91">
        <v>15.75</v>
      </c>
      <c r="AE140" s="91">
        <v>14.75</v>
      </c>
      <c r="AF140" s="72">
        <v>11.5</v>
      </c>
      <c r="AG140" s="44">
        <f t="shared" si="79"/>
        <v>1.5460611979166667</v>
      </c>
      <c r="AH140" s="39" t="s">
        <v>1693</v>
      </c>
      <c r="AI140" s="39" t="s">
        <v>1903</v>
      </c>
      <c r="AJ140" s="39" t="s">
        <v>1887</v>
      </c>
      <c r="AK140" s="39" t="s">
        <v>875</v>
      </c>
      <c r="AL140" s="39" t="s">
        <v>1906</v>
      </c>
      <c r="AM140" s="39" t="s">
        <v>1889</v>
      </c>
      <c r="AN140" s="39" t="s">
        <v>1905</v>
      </c>
      <c r="AO140" s="39" t="s">
        <v>1907</v>
      </c>
      <c r="AP140" s="39" t="s">
        <v>1901</v>
      </c>
      <c r="AQ140" s="20" t="s">
        <v>1839</v>
      </c>
      <c r="AR140" s="97" t="s">
        <v>1838</v>
      </c>
    </row>
    <row r="141" spans="1:44" s="213" customFormat="1" x14ac:dyDescent="0.25">
      <c r="A141" s="213" t="s">
        <v>1447</v>
      </c>
      <c r="B141" s="369"/>
      <c r="C141" s="192"/>
      <c r="D141" s="35" t="s">
        <v>128</v>
      </c>
      <c r="E141" s="241"/>
      <c r="F141" s="192"/>
      <c r="G141" s="192"/>
      <c r="H141" s="221"/>
      <c r="I141" s="221"/>
      <c r="J141" s="221"/>
      <c r="K141" s="221"/>
      <c r="L141" s="211"/>
      <c r="M141" s="211"/>
      <c r="N141" s="215"/>
      <c r="O141" s="216"/>
      <c r="P141" s="275"/>
      <c r="Q141" s="192"/>
      <c r="R141" s="192"/>
      <c r="S141" s="192"/>
      <c r="T141" s="193"/>
      <c r="U141" s="191"/>
      <c r="V141" s="192"/>
      <c r="W141" s="192"/>
      <c r="X141" s="193"/>
      <c r="Y141" s="191"/>
      <c r="Z141" s="192"/>
      <c r="AA141" s="192"/>
      <c r="AB141" s="193"/>
      <c r="AC141" s="222"/>
      <c r="AD141" s="223"/>
      <c r="AE141" s="223"/>
      <c r="AF141" s="193"/>
      <c r="AG141" s="191"/>
      <c r="AH141" s="202"/>
      <c r="AI141" s="202"/>
      <c r="AJ141" s="202"/>
      <c r="AK141" s="202"/>
      <c r="AL141" s="202"/>
      <c r="AM141" s="202"/>
      <c r="AN141" s="202"/>
      <c r="AO141" s="202"/>
      <c r="AP141" s="202"/>
      <c r="AQ141" s="224"/>
    </row>
    <row r="142" spans="1:44" s="20" customFormat="1" ht="13.8" x14ac:dyDescent="0.3">
      <c r="A142" s="20" t="s">
        <v>121</v>
      </c>
      <c r="B142" s="141"/>
      <c r="C142" s="35" t="s">
        <v>842</v>
      </c>
      <c r="D142" s="17" t="s">
        <v>788</v>
      </c>
      <c r="E142" s="18" t="s">
        <v>1396</v>
      </c>
      <c r="F142" s="35" t="s">
        <v>1756</v>
      </c>
      <c r="G142" s="35" t="s">
        <v>1507</v>
      </c>
      <c r="H142" s="80">
        <v>7331423008506</v>
      </c>
      <c r="I142" s="80">
        <v>7331423101436</v>
      </c>
      <c r="J142" s="80">
        <v>7331423201716</v>
      </c>
      <c r="K142" s="80">
        <v>17331423201713</v>
      </c>
      <c r="L142" s="38" t="s">
        <v>148</v>
      </c>
      <c r="M142" s="29" t="s">
        <v>327</v>
      </c>
      <c r="N142" s="6">
        <v>8.99</v>
      </c>
      <c r="O142" s="37">
        <v>12</v>
      </c>
      <c r="P142" s="228">
        <v>36</v>
      </c>
      <c r="Q142" s="46">
        <f>CONVERT(64,"g","lbm")</f>
        <v>0.14109584779832166</v>
      </c>
      <c r="R142" s="35">
        <f>CONVERT(250,"mm","in")</f>
        <v>9.8425196850393704</v>
      </c>
      <c r="S142" s="35">
        <f>CONVERT(53,"mm","in")</f>
        <v>2.0866141732283463</v>
      </c>
      <c r="T142" s="72">
        <v>1.375</v>
      </c>
      <c r="U142" s="46">
        <v>0.18</v>
      </c>
      <c r="V142" s="35">
        <v>3.375</v>
      </c>
      <c r="W142" s="35">
        <v>1.5</v>
      </c>
      <c r="X142" s="72">
        <v>12.6875</v>
      </c>
      <c r="Y142" s="46">
        <v>2.4500000000000002</v>
      </c>
      <c r="Z142" s="35">
        <v>6.375</v>
      </c>
      <c r="AA142" s="35">
        <v>6</v>
      </c>
      <c r="AB142" s="72">
        <v>13</v>
      </c>
      <c r="AC142" s="95">
        <v>8</v>
      </c>
      <c r="AD142" s="91">
        <v>19.75</v>
      </c>
      <c r="AE142" s="91">
        <v>6.25</v>
      </c>
      <c r="AF142" s="72">
        <v>13.5</v>
      </c>
      <c r="AG142" s="44">
        <f>AD142*AE142*AF142/(12^3)</f>
        <v>0.96435546875</v>
      </c>
      <c r="AH142" s="39" t="s">
        <v>1694</v>
      </c>
      <c r="AI142" s="39" t="s">
        <v>874</v>
      </c>
      <c r="AJ142" s="39" t="s">
        <v>1887</v>
      </c>
      <c r="AK142" s="39" t="s">
        <v>875</v>
      </c>
      <c r="AL142" s="39" t="s">
        <v>1908</v>
      </c>
      <c r="AM142" s="39" t="s">
        <v>1889</v>
      </c>
      <c r="AN142" s="39" t="s">
        <v>1905</v>
      </c>
      <c r="AO142" s="39" t="s">
        <v>1909</v>
      </c>
      <c r="AP142" s="39" t="s">
        <v>1910</v>
      </c>
      <c r="AQ142" s="20" t="s">
        <v>1839</v>
      </c>
      <c r="AR142" s="97" t="s">
        <v>1838</v>
      </c>
    </row>
    <row r="143" spans="1:44" s="20" customFormat="1" ht="13.8" x14ac:dyDescent="0.3">
      <c r="A143" s="20" t="s">
        <v>121</v>
      </c>
      <c r="B143" s="141"/>
      <c r="C143" s="35" t="s">
        <v>842</v>
      </c>
      <c r="D143" s="17" t="s">
        <v>811</v>
      </c>
      <c r="E143" s="18" t="s">
        <v>1396</v>
      </c>
      <c r="F143" s="35" t="s">
        <v>815</v>
      </c>
      <c r="G143" s="35" t="s">
        <v>1507</v>
      </c>
      <c r="H143" s="80">
        <v>7331423008490</v>
      </c>
      <c r="I143" s="80">
        <v>7331423101429</v>
      </c>
      <c r="J143" s="80">
        <v>7331423201709</v>
      </c>
      <c r="K143" s="80">
        <v>17331423201706</v>
      </c>
      <c r="L143" s="38" t="s">
        <v>148</v>
      </c>
      <c r="M143" s="29" t="s">
        <v>327</v>
      </c>
      <c r="N143" s="6">
        <v>8.99</v>
      </c>
      <c r="O143" s="37">
        <v>12</v>
      </c>
      <c r="P143" s="228">
        <v>36</v>
      </c>
      <c r="Q143" s="46">
        <f t="shared" ref="Q143:Q145" si="83">CONVERT(64,"g","lbm")</f>
        <v>0.14109584779832166</v>
      </c>
      <c r="R143" s="35">
        <f t="shared" ref="R143:R145" si="84">CONVERT(250,"mm","in")</f>
        <v>9.8425196850393704</v>
      </c>
      <c r="S143" s="35">
        <f t="shared" ref="S143:S145" si="85">CONVERT(53,"mm","in")</f>
        <v>2.0866141732283463</v>
      </c>
      <c r="T143" s="72">
        <v>1.375</v>
      </c>
      <c r="U143" s="46">
        <v>0.18</v>
      </c>
      <c r="V143" s="35">
        <v>3.375</v>
      </c>
      <c r="W143" s="35">
        <v>1.5</v>
      </c>
      <c r="X143" s="72">
        <v>12.6875</v>
      </c>
      <c r="Y143" s="46">
        <v>2.4500000000000002</v>
      </c>
      <c r="Z143" s="35">
        <v>6.375</v>
      </c>
      <c r="AA143" s="35">
        <v>6</v>
      </c>
      <c r="AB143" s="72">
        <v>13</v>
      </c>
      <c r="AC143" s="95">
        <v>8</v>
      </c>
      <c r="AD143" s="91">
        <v>19.75</v>
      </c>
      <c r="AE143" s="91">
        <v>6.25</v>
      </c>
      <c r="AF143" s="72">
        <v>13.5</v>
      </c>
      <c r="AG143" s="44">
        <f>AD143*AE143*AF143/(12^3)</f>
        <v>0.96435546875</v>
      </c>
      <c r="AH143" s="39" t="s">
        <v>1694</v>
      </c>
      <c r="AI143" s="39" t="s">
        <v>874</v>
      </c>
      <c r="AJ143" s="39" t="s">
        <v>1887</v>
      </c>
      <c r="AK143" s="39" t="s">
        <v>875</v>
      </c>
      <c r="AL143" s="39" t="s">
        <v>1908</v>
      </c>
      <c r="AM143" s="39" t="s">
        <v>1889</v>
      </c>
      <c r="AN143" s="39" t="s">
        <v>1905</v>
      </c>
      <c r="AO143" s="39" t="s">
        <v>1909</v>
      </c>
      <c r="AP143" s="39" t="s">
        <v>1910</v>
      </c>
      <c r="AQ143" s="20" t="s">
        <v>1839</v>
      </c>
      <c r="AR143" s="97" t="s">
        <v>1838</v>
      </c>
    </row>
    <row r="144" spans="1:44" s="20" customFormat="1" ht="13.8" x14ac:dyDescent="0.3">
      <c r="A144" s="20" t="s">
        <v>121</v>
      </c>
      <c r="B144" s="141"/>
      <c r="C144" s="35" t="s">
        <v>842</v>
      </c>
      <c r="D144" s="17" t="s">
        <v>806</v>
      </c>
      <c r="E144" s="18" t="s">
        <v>1396</v>
      </c>
      <c r="F144" s="35" t="s">
        <v>791</v>
      </c>
      <c r="G144" s="35" t="s">
        <v>1507</v>
      </c>
      <c r="H144" s="80">
        <v>7331423008483</v>
      </c>
      <c r="I144" s="80">
        <v>7331423101412</v>
      </c>
      <c r="J144" s="80">
        <v>7331423201693</v>
      </c>
      <c r="K144" s="80">
        <v>17331423201690</v>
      </c>
      <c r="L144" s="38" t="s">
        <v>148</v>
      </c>
      <c r="M144" s="29" t="s">
        <v>327</v>
      </c>
      <c r="N144" s="6">
        <v>8.99</v>
      </c>
      <c r="O144" s="37">
        <v>12</v>
      </c>
      <c r="P144" s="228">
        <v>36</v>
      </c>
      <c r="Q144" s="46">
        <f t="shared" si="83"/>
        <v>0.14109584779832166</v>
      </c>
      <c r="R144" s="35">
        <f t="shared" si="84"/>
        <v>9.8425196850393704</v>
      </c>
      <c r="S144" s="35">
        <f t="shared" si="85"/>
        <v>2.0866141732283463</v>
      </c>
      <c r="T144" s="72">
        <v>1.375</v>
      </c>
      <c r="U144" s="46">
        <v>0.18</v>
      </c>
      <c r="V144" s="35">
        <v>3.375</v>
      </c>
      <c r="W144" s="35">
        <v>1.5</v>
      </c>
      <c r="X144" s="72">
        <v>12.6875</v>
      </c>
      <c r="Y144" s="46">
        <v>2.4500000000000002</v>
      </c>
      <c r="Z144" s="35">
        <v>6.375</v>
      </c>
      <c r="AA144" s="35">
        <v>6</v>
      </c>
      <c r="AB144" s="72">
        <v>13</v>
      </c>
      <c r="AC144" s="95">
        <v>8</v>
      </c>
      <c r="AD144" s="91">
        <v>19.75</v>
      </c>
      <c r="AE144" s="91">
        <v>6.25</v>
      </c>
      <c r="AF144" s="72">
        <v>13.5</v>
      </c>
      <c r="AG144" s="44">
        <f>AD144*AE144*AF144/(12^3)</f>
        <v>0.96435546875</v>
      </c>
      <c r="AH144" s="39" t="s">
        <v>1694</v>
      </c>
      <c r="AI144" s="39" t="s">
        <v>874</v>
      </c>
      <c r="AJ144" s="39" t="s">
        <v>1887</v>
      </c>
      <c r="AK144" s="39" t="s">
        <v>875</v>
      </c>
      <c r="AL144" s="39" t="s">
        <v>1908</v>
      </c>
      <c r="AM144" s="39" t="s">
        <v>1889</v>
      </c>
      <c r="AN144" s="39" t="s">
        <v>1905</v>
      </c>
      <c r="AO144" s="39" t="s">
        <v>1909</v>
      </c>
      <c r="AP144" s="39" t="s">
        <v>1910</v>
      </c>
      <c r="AQ144" s="20" t="s">
        <v>1839</v>
      </c>
      <c r="AR144" s="97" t="s">
        <v>1838</v>
      </c>
    </row>
    <row r="145" spans="1:44" s="20" customFormat="1" ht="13.8" x14ac:dyDescent="0.3">
      <c r="A145" s="20" t="s">
        <v>121</v>
      </c>
      <c r="B145" s="141"/>
      <c r="C145" s="35" t="s">
        <v>842</v>
      </c>
      <c r="D145" s="17" t="s">
        <v>786</v>
      </c>
      <c r="E145" s="18" t="s">
        <v>1396</v>
      </c>
      <c r="F145" s="35" t="s">
        <v>1722</v>
      </c>
      <c r="G145" s="35" t="s">
        <v>1507</v>
      </c>
      <c r="H145" s="80">
        <v>7331423101443</v>
      </c>
      <c r="I145" s="80">
        <v>7331423008513</v>
      </c>
      <c r="J145" s="80">
        <v>7331423201723</v>
      </c>
      <c r="K145" s="80">
        <v>17331423201720</v>
      </c>
      <c r="L145" s="38" t="s">
        <v>148</v>
      </c>
      <c r="M145" s="29" t="s">
        <v>327</v>
      </c>
      <c r="N145" s="6">
        <v>8.99</v>
      </c>
      <c r="O145" s="37">
        <v>12</v>
      </c>
      <c r="P145" s="228">
        <v>36</v>
      </c>
      <c r="Q145" s="46">
        <f t="shared" si="83"/>
        <v>0.14109584779832166</v>
      </c>
      <c r="R145" s="35">
        <f t="shared" si="84"/>
        <v>9.8425196850393704</v>
      </c>
      <c r="S145" s="35">
        <f t="shared" si="85"/>
        <v>2.0866141732283463</v>
      </c>
      <c r="T145" s="72">
        <v>1.375</v>
      </c>
      <c r="U145" s="46">
        <v>0.18</v>
      </c>
      <c r="V145" s="35">
        <v>3.375</v>
      </c>
      <c r="W145" s="35">
        <v>1.5</v>
      </c>
      <c r="X145" s="72">
        <v>12.6875</v>
      </c>
      <c r="Y145" s="46">
        <v>2.4500000000000002</v>
      </c>
      <c r="Z145" s="35">
        <v>6.375</v>
      </c>
      <c r="AA145" s="35">
        <v>6</v>
      </c>
      <c r="AB145" s="72">
        <v>13</v>
      </c>
      <c r="AC145" s="95">
        <v>8</v>
      </c>
      <c r="AD145" s="91">
        <v>19.75</v>
      </c>
      <c r="AE145" s="91">
        <v>6.25</v>
      </c>
      <c r="AF145" s="72">
        <v>13.5</v>
      </c>
      <c r="AG145" s="44">
        <f>AD145*AE145*AF145/(12^3)</f>
        <v>0.96435546875</v>
      </c>
      <c r="AH145" s="39" t="s">
        <v>1694</v>
      </c>
      <c r="AI145" s="39" t="s">
        <v>874</v>
      </c>
      <c r="AJ145" s="39" t="s">
        <v>1887</v>
      </c>
      <c r="AK145" s="39" t="s">
        <v>875</v>
      </c>
      <c r="AL145" s="39" t="s">
        <v>1908</v>
      </c>
      <c r="AM145" s="39" t="s">
        <v>1889</v>
      </c>
      <c r="AN145" s="39" t="s">
        <v>1905</v>
      </c>
      <c r="AO145" s="39" t="s">
        <v>1909</v>
      </c>
      <c r="AP145" s="39" t="s">
        <v>1910</v>
      </c>
      <c r="AQ145" s="20" t="s">
        <v>1839</v>
      </c>
      <c r="AR145" s="97" t="s">
        <v>1838</v>
      </c>
    </row>
    <row r="146" spans="1:44" s="213" customFormat="1" x14ac:dyDescent="0.25">
      <c r="A146" s="213" t="s">
        <v>1449</v>
      </c>
      <c r="B146" s="369"/>
      <c r="C146" s="190"/>
      <c r="D146" s="35" t="s">
        <v>128</v>
      </c>
      <c r="E146" s="190"/>
      <c r="H146" s="221"/>
      <c r="I146" s="221"/>
      <c r="J146" s="221"/>
      <c r="K146" s="221"/>
      <c r="L146" s="211"/>
      <c r="M146" s="211"/>
      <c r="N146" s="215"/>
      <c r="O146" s="216"/>
      <c r="P146" s="275"/>
      <c r="Q146" s="192"/>
      <c r="R146" s="192"/>
      <c r="S146" s="192"/>
      <c r="T146" s="193"/>
      <c r="U146" s="191"/>
      <c r="V146" s="218"/>
      <c r="W146" s="218"/>
      <c r="X146" s="219"/>
      <c r="Y146" s="191"/>
      <c r="Z146" s="218"/>
      <c r="AA146" s="218"/>
      <c r="AB146" s="219"/>
      <c r="AC146" s="191"/>
      <c r="AD146" s="192"/>
      <c r="AE146" s="192"/>
      <c r="AF146" s="193"/>
      <c r="AG146" s="191"/>
      <c r="AH146" s="202"/>
      <c r="AJ146" s="202"/>
      <c r="AK146" s="202"/>
      <c r="AL146" s="202"/>
      <c r="AM146" s="202"/>
      <c r="AN146" s="202"/>
      <c r="AO146" s="202"/>
      <c r="AP146" s="226"/>
      <c r="AQ146" s="224"/>
      <c r="AR146" s="220"/>
    </row>
    <row r="147" spans="1:44" s="20" customFormat="1" ht="13.8" x14ac:dyDescent="0.3">
      <c r="A147" s="20" t="s">
        <v>121</v>
      </c>
      <c r="B147" s="141"/>
      <c r="C147" s="21" t="s">
        <v>84</v>
      </c>
      <c r="D147" s="17" t="s">
        <v>1770</v>
      </c>
      <c r="E147" s="21" t="s">
        <v>1767</v>
      </c>
      <c r="F147" s="20" t="s">
        <v>1763</v>
      </c>
      <c r="G147" s="35" t="s">
        <v>1507</v>
      </c>
      <c r="H147" s="80">
        <v>7331423008278</v>
      </c>
      <c r="I147" s="80">
        <v>7331423100989</v>
      </c>
      <c r="J147" s="80">
        <v>7331423201211</v>
      </c>
      <c r="K147" s="80">
        <v>17331423201218</v>
      </c>
      <c r="L147" s="38" t="s">
        <v>148</v>
      </c>
      <c r="M147" s="29" t="s">
        <v>327</v>
      </c>
      <c r="N147" s="7">
        <v>7.99</v>
      </c>
      <c r="O147" s="37">
        <v>12</v>
      </c>
      <c r="P147" s="228">
        <v>72</v>
      </c>
      <c r="Q147" s="101">
        <f>CONVERT(24,"g","lbm")</f>
        <v>5.2910942924370617E-2</v>
      </c>
      <c r="R147" s="35">
        <f>CONVERT(140,"mm","in")</f>
        <v>5.5118110236220472</v>
      </c>
      <c r="S147" s="35">
        <f>CONVERT(31,"mm","in")</f>
        <v>1.2204724409448817</v>
      </c>
      <c r="T147" s="72">
        <v>1</v>
      </c>
      <c r="U147" s="46">
        <v>0.1</v>
      </c>
      <c r="V147" s="35">
        <v>2.5625</v>
      </c>
      <c r="W147" s="35">
        <v>1.25</v>
      </c>
      <c r="X147" s="72">
        <v>8.3125</v>
      </c>
      <c r="Y147" s="46">
        <v>1.05</v>
      </c>
      <c r="Z147" s="35">
        <v>5.625</v>
      </c>
      <c r="AA147" s="35">
        <v>5</v>
      </c>
      <c r="AB147" s="72">
        <v>9</v>
      </c>
      <c r="AC147" s="46">
        <v>7.6</v>
      </c>
      <c r="AD147" s="35">
        <v>15.625</v>
      </c>
      <c r="AE147" s="35">
        <v>14.5</v>
      </c>
      <c r="AF147" s="72">
        <v>11.375</v>
      </c>
      <c r="AG147" s="44">
        <f>AD147*AE147*AF147/(12^3)</f>
        <v>1.491405345775463</v>
      </c>
      <c r="AH147" s="39" t="s">
        <v>1911</v>
      </c>
      <c r="AI147" s="20" t="s">
        <v>1913</v>
      </c>
      <c r="AJ147" s="39" t="s">
        <v>875</v>
      </c>
      <c r="AK147" s="39" t="s">
        <v>1914</v>
      </c>
      <c r="AL147" s="39" t="s">
        <v>1889</v>
      </c>
      <c r="AM147" s="39" t="s">
        <v>680</v>
      </c>
      <c r="AN147" s="39" t="s">
        <v>1890</v>
      </c>
      <c r="AO147" s="39" t="s">
        <v>1915</v>
      </c>
      <c r="AP147" s="14" t="s">
        <v>1916</v>
      </c>
      <c r="AQ147" s="20" t="s">
        <v>1839</v>
      </c>
      <c r="AR147" s="97" t="s">
        <v>1838</v>
      </c>
    </row>
    <row r="148" spans="1:44" s="20" customFormat="1" ht="13.8" x14ac:dyDescent="0.3">
      <c r="A148" s="20" t="s">
        <v>121</v>
      </c>
      <c r="B148" s="141"/>
      <c r="C148" s="21" t="s">
        <v>84</v>
      </c>
      <c r="D148" s="17" t="s">
        <v>1769</v>
      </c>
      <c r="E148" s="21" t="s">
        <v>1767</v>
      </c>
      <c r="F148" s="20" t="s">
        <v>1765</v>
      </c>
      <c r="G148" s="35" t="s">
        <v>1507</v>
      </c>
      <c r="H148" s="80">
        <v>7331423008285</v>
      </c>
      <c r="I148" s="80">
        <v>7331423100996</v>
      </c>
      <c r="J148" s="80">
        <v>7331423201228</v>
      </c>
      <c r="K148" s="80">
        <v>17331423201225</v>
      </c>
      <c r="L148" s="38" t="s">
        <v>148</v>
      </c>
      <c r="M148" s="29" t="s">
        <v>327</v>
      </c>
      <c r="N148" s="7">
        <v>7.99</v>
      </c>
      <c r="O148" s="37">
        <v>12</v>
      </c>
      <c r="P148" s="228">
        <v>72</v>
      </c>
      <c r="Q148" s="101">
        <f>CONVERT(24,"g","lbm")</f>
        <v>5.2910942924370617E-2</v>
      </c>
      <c r="R148" s="35">
        <f t="shared" ref="R148:R151" si="86">CONVERT(140,"mm","in")</f>
        <v>5.5118110236220472</v>
      </c>
      <c r="S148" s="35">
        <f t="shared" ref="S148:S151" si="87">CONVERT(31,"mm","in")</f>
        <v>1.2204724409448817</v>
      </c>
      <c r="T148" s="72">
        <v>1</v>
      </c>
      <c r="U148" s="46">
        <v>0.1</v>
      </c>
      <c r="V148" s="35">
        <v>2.5625</v>
      </c>
      <c r="W148" s="35">
        <v>1.25</v>
      </c>
      <c r="X148" s="72">
        <v>8.3125</v>
      </c>
      <c r="Y148" s="46">
        <v>1.05</v>
      </c>
      <c r="Z148" s="35">
        <v>5.625</v>
      </c>
      <c r="AA148" s="35">
        <v>5</v>
      </c>
      <c r="AB148" s="72">
        <v>9</v>
      </c>
      <c r="AC148" s="46">
        <v>7.6</v>
      </c>
      <c r="AD148" s="35">
        <v>15.625</v>
      </c>
      <c r="AE148" s="35">
        <v>14.5</v>
      </c>
      <c r="AF148" s="72">
        <v>11.375</v>
      </c>
      <c r="AG148" s="44">
        <f>AD148*AE148*AF148/(12^3)</f>
        <v>1.491405345775463</v>
      </c>
      <c r="AH148" s="39" t="s">
        <v>1911</v>
      </c>
      <c r="AI148" s="20" t="s">
        <v>1913</v>
      </c>
      <c r="AJ148" s="39" t="s">
        <v>875</v>
      </c>
      <c r="AK148" s="39" t="s">
        <v>1914</v>
      </c>
      <c r="AL148" s="39" t="s">
        <v>1889</v>
      </c>
      <c r="AM148" s="39" t="s">
        <v>680</v>
      </c>
      <c r="AN148" s="39" t="s">
        <v>1890</v>
      </c>
      <c r="AO148" s="39" t="s">
        <v>1915</v>
      </c>
      <c r="AP148" s="14" t="s">
        <v>1916</v>
      </c>
      <c r="AQ148" s="20" t="s">
        <v>1839</v>
      </c>
      <c r="AR148" s="97" t="s">
        <v>1838</v>
      </c>
    </row>
    <row r="149" spans="1:44" s="20" customFormat="1" ht="13.8" x14ac:dyDescent="0.3">
      <c r="A149" s="20" t="s">
        <v>121</v>
      </c>
      <c r="B149" s="141"/>
      <c r="C149" s="21" t="s">
        <v>84</v>
      </c>
      <c r="D149" s="17" t="s">
        <v>1768</v>
      </c>
      <c r="E149" s="21" t="s">
        <v>1767</v>
      </c>
      <c r="F149" s="20" t="s">
        <v>1764</v>
      </c>
      <c r="G149" s="35" t="s">
        <v>1507</v>
      </c>
      <c r="H149" s="80">
        <v>7331423008292</v>
      </c>
      <c r="I149" s="80">
        <v>7331423101009</v>
      </c>
      <c r="J149" s="80">
        <v>7331423201235</v>
      </c>
      <c r="K149" s="80">
        <v>17331423201232</v>
      </c>
      <c r="L149" s="38" t="s">
        <v>148</v>
      </c>
      <c r="M149" s="29" t="s">
        <v>327</v>
      </c>
      <c r="N149" s="7">
        <v>7.99</v>
      </c>
      <c r="O149" s="37">
        <v>12</v>
      </c>
      <c r="P149" s="228">
        <v>72</v>
      </c>
      <c r="Q149" s="101">
        <f>CONVERT(24,"g","lbm")</f>
        <v>5.2910942924370617E-2</v>
      </c>
      <c r="R149" s="35">
        <f t="shared" si="86"/>
        <v>5.5118110236220472</v>
      </c>
      <c r="S149" s="35">
        <f t="shared" si="87"/>
        <v>1.2204724409448817</v>
      </c>
      <c r="T149" s="72">
        <v>1</v>
      </c>
      <c r="U149" s="46">
        <v>0.1</v>
      </c>
      <c r="V149" s="35">
        <v>2.5625</v>
      </c>
      <c r="W149" s="35">
        <v>1.25</v>
      </c>
      <c r="X149" s="72">
        <v>8.3125</v>
      </c>
      <c r="Y149" s="46">
        <v>1.05</v>
      </c>
      <c r="Z149" s="35">
        <v>5.625</v>
      </c>
      <c r="AA149" s="35">
        <v>5</v>
      </c>
      <c r="AB149" s="72">
        <v>9</v>
      </c>
      <c r="AC149" s="46">
        <v>7.6</v>
      </c>
      <c r="AD149" s="35">
        <v>15.625</v>
      </c>
      <c r="AE149" s="35">
        <v>14.5</v>
      </c>
      <c r="AF149" s="72">
        <v>11.375</v>
      </c>
      <c r="AG149" s="44">
        <f>AD149*AE149*AF149/(12^3)</f>
        <v>1.491405345775463</v>
      </c>
      <c r="AH149" s="39" t="s">
        <v>1911</v>
      </c>
      <c r="AI149" s="20" t="s">
        <v>1913</v>
      </c>
      <c r="AJ149" s="39" t="s">
        <v>875</v>
      </c>
      <c r="AK149" s="39" t="s">
        <v>1914</v>
      </c>
      <c r="AL149" s="39" t="s">
        <v>1889</v>
      </c>
      <c r="AM149" s="39" t="s">
        <v>680</v>
      </c>
      <c r="AN149" s="39" t="s">
        <v>1890</v>
      </c>
      <c r="AO149" s="39" t="s">
        <v>1915</v>
      </c>
      <c r="AP149" s="14" t="s">
        <v>1916</v>
      </c>
      <c r="AQ149" s="20" t="s">
        <v>1839</v>
      </c>
      <c r="AR149" s="97" t="s">
        <v>1838</v>
      </c>
    </row>
    <row r="150" spans="1:44" s="20" customFormat="1" ht="13.8" x14ac:dyDescent="0.3">
      <c r="A150" s="20" t="s">
        <v>121</v>
      </c>
      <c r="B150" s="141"/>
      <c r="C150" s="21" t="s">
        <v>84</v>
      </c>
      <c r="D150" s="17" t="s">
        <v>786</v>
      </c>
      <c r="E150" s="21" t="s">
        <v>1767</v>
      </c>
      <c r="F150" s="20" t="s">
        <v>1762</v>
      </c>
      <c r="G150" s="35" t="s">
        <v>1507</v>
      </c>
      <c r="H150" s="80">
        <v>7331423008322</v>
      </c>
      <c r="I150" s="80">
        <v>7331423008308</v>
      </c>
      <c r="J150" s="80">
        <v>7331423202287</v>
      </c>
      <c r="K150" s="80">
        <v>17331423201249</v>
      </c>
      <c r="L150" s="38" t="s">
        <v>148</v>
      </c>
      <c r="M150" s="29" t="s">
        <v>327</v>
      </c>
      <c r="N150" s="7">
        <v>7.99</v>
      </c>
      <c r="O150" s="37">
        <v>12</v>
      </c>
      <c r="P150" s="228">
        <v>72</v>
      </c>
      <c r="Q150" s="101">
        <f>CONVERT(24,"g","lbm")</f>
        <v>5.2910942924370617E-2</v>
      </c>
      <c r="R150" s="35">
        <f t="shared" si="86"/>
        <v>5.5118110236220472</v>
      </c>
      <c r="S150" s="35">
        <f t="shared" si="87"/>
        <v>1.2204724409448817</v>
      </c>
      <c r="T150" s="72">
        <v>1</v>
      </c>
      <c r="U150" s="46">
        <v>0.1</v>
      </c>
      <c r="V150" s="35">
        <v>2.5625</v>
      </c>
      <c r="W150" s="35">
        <v>1.25</v>
      </c>
      <c r="X150" s="72">
        <v>8.3125</v>
      </c>
      <c r="Y150" s="46">
        <v>1.05</v>
      </c>
      <c r="Z150" s="35">
        <v>5.625</v>
      </c>
      <c r="AA150" s="35">
        <v>5</v>
      </c>
      <c r="AB150" s="72">
        <v>9</v>
      </c>
      <c r="AC150" s="46">
        <v>7.6</v>
      </c>
      <c r="AD150" s="35">
        <v>15.625</v>
      </c>
      <c r="AE150" s="35">
        <v>14.5</v>
      </c>
      <c r="AF150" s="72">
        <v>11.375</v>
      </c>
      <c r="AG150" s="44">
        <f>AD150*AE150*AF150/(12^3)</f>
        <v>1.491405345775463</v>
      </c>
      <c r="AH150" s="39" t="s">
        <v>1911</v>
      </c>
      <c r="AI150" s="20" t="s">
        <v>1913</v>
      </c>
      <c r="AJ150" s="39" t="s">
        <v>875</v>
      </c>
      <c r="AK150" s="39" t="s">
        <v>1914</v>
      </c>
      <c r="AL150" s="39" t="s">
        <v>1889</v>
      </c>
      <c r="AM150" s="39" t="s">
        <v>680</v>
      </c>
      <c r="AN150" s="39" t="s">
        <v>1890</v>
      </c>
      <c r="AO150" s="39" t="s">
        <v>1915</v>
      </c>
      <c r="AP150" s="14" t="s">
        <v>1916</v>
      </c>
      <c r="AQ150" s="20" t="s">
        <v>1839</v>
      </c>
      <c r="AR150" s="97" t="s">
        <v>1838</v>
      </c>
    </row>
    <row r="151" spans="1:44" s="20" customFormat="1" ht="13.8" x14ac:dyDescent="0.3">
      <c r="A151" s="780" t="s">
        <v>121</v>
      </c>
      <c r="B151" s="803"/>
      <c r="C151" s="805" t="s">
        <v>365</v>
      </c>
      <c r="D151" s="813" t="s">
        <v>786</v>
      </c>
      <c r="E151" s="21" t="s">
        <v>1761</v>
      </c>
      <c r="F151" s="20" t="s">
        <v>1762</v>
      </c>
      <c r="G151" s="20" t="s">
        <v>1486</v>
      </c>
      <c r="H151" s="124" t="s">
        <v>920</v>
      </c>
      <c r="I151" s="408" t="s">
        <v>66</v>
      </c>
      <c r="J151" s="430">
        <v>7331423201280</v>
      </c>
      <c r="K151" s="408">
        <v>17331423201287</v>
      </c>
      <c r="L151" s="38" t="s">
        <v>148</v>
      </c>
      <c r="M151" s="38" t="s">
        <v>327</v>
      </c>
      <c r="N151" s="7">
        <v>7.99</v>
      </c>
      <c r="O151" s="37">
        <v>1</v>
      </c>
      <c r="P151" s="228">
        <v>4</v>
      </c>
      <c r="Q151" s="101">
        <f>CONVERT(24,"g","lbm")</f>
        <v>5.2910942924370617E-2</v>
      </c>
      <c r="R151" s="35">
        <f t="shared" si="86"/>
        <v>5.5118110236220472</v>
      </c>
      <c r="S151" s="35">
        <f t="shared" si="87"/>
        <v>1.2204724409448817</v>
      </c>
      <c r="T151" s="72">
        <v>1</v>
      </c>
      <c r="U151" s="46">
        <f>CONVERT(995,"g","lbm")</f>
        <v>2.1935995087395317</v>
      </c>
      <c r="V151" s="35">
        <v>5</v>
      </c>
      <c r="W151" s="35">
        <v>5</v>
      </c>
      <c r="X151" s="72">
        <v>6</v>
      </c>
      <c r="Y151" s="46" t="s">
        <v>66</v>
      </c>
      <c r="Z151" s="35" t="s">
        <v>66</v>
      </c>
      <c r="AA151" s="35" t="s">
        <v>66</v>
      </c>
      <c r="AB151" s="72" t="s">
        <v>66</v>
      </c>
      <c r="AC151" s="46">
        <f>CONVERT(4250,"g","lbm")</f>
        <v>9.369646142857297</v>
      </c>
      <c r="AD151" s="35">
        <v>10.5</v>
      </c>
      <c r="AE151" s="35">
        <v>10.375</v>
      </c>
      <c r="AF151" s="72">
        <v>7.375</v>
      </c>
      <c r="AG151" s="44">
        <f>AD151*AE151*AF151/(12^3)</f>
        <v>0.4649386935763889</v>
      </c>
      <c r="AH151" s="816" t="s">
        <v>1912</v>
      </c>
      <c r="AI151" s="816" t="s">
        <v>1917</v>
      </c>
      <c r="AJ151" s="816" t="s">
        <v>875</v>
      </c>
      <c r="AK151" s="816" t="s">
        <v>1914</v>
      </c>
      <c r="AL151" s="816" t="s">
        <v>1889</v>
      </c>
      <c r="AM151" s="816" t="s">
        <v>680</v>
      </c>
      <c r="AN151" s="816" t="s">
        <v>1890</v>
      </c>
      <c r="AO151" s="816" t="s">
        <v>1915</v>
      </c>
      <c r="AP151" s="816" t="s">
        <v>1916</v>
      </c>
      <c r="AQ151" s="815" t="s">
        <v>1839</v>
      </c>
      <c r="AR151" s="814" t="s">
        <v>1838</v>
      </c>
    </row>
    <row r="152" spans="1:44" s="20" customFormat="1" ht="13.8" x14ac:dyDescent="0.3">
      <c r="A152" s="780" t="s">
        <v>121</v>
      </c>
      <c r="B152" s="804"/>
      <c r="C152" s="806"/>
      <c r="D152" s="804"/>
      <c r="E152" s="457" t="s">
        <v>1760</v>
      </c>
      <c r="F152" s="20" t="s">
        <v>1764</v>
      </c>
      <c r="G152" s="20" t="s">
        <v>1766</v>
      </c>
      <c r="H152" s="124">
        <v>7331423009152</v>
      </c>
      <c r="I152" s="408" t="s">
        <v>66</v>
      </c>
      <c r="J152" s="408" t="s">
        <v>66</v>
      </c>
      <c r="K152" s="408" t="s">
        <v>66</v>
      </c>
      <c r="L152" s="408" t="s">
        <v>66</v>
      </c>
      <c r="M152" s="408" t="s">
        <v>66</v>
      </c>
      <c r="N152" s="408" t="s">
        <v>66</v>
      </c>
      <c r="O152" s="408" t="s">
        <v>66</v>
      </c>
      <c r="P152" s="455" t="s">
        <v>66</v>
      </c>
      <c r="Q152" s="456" t="s">
        <v>66</v>
      </c>
      <c r="R152" s="408" t="s">
        <v>66</v>
      </c>
      <c r="S152" s="408" t="s">
        <v>66</v>
      </c>
      <c r="T152" s="455" t="s">
        <v>66</v>
      </c>
      <c r="U152" s="456" t="s">
        <v>66</v>
      </c>
      <c r="V152" s="408" t="s">
        <v>66</v>
      </c>
      <c r="W152" s="408" t="s">
        <v>66</v>
      </c>
      <c r="X152" s="455" t="s">
        <v>66</v>
      </c>
      <c r="Y152" s="456" t="s">
        <v>66</v>
      </c>
      <c r="Z152" s="408" t="s">
        <v>66</v>
      </c>
      <c r="AA152" s="408" t="s">
        <v>66</v>
      </c>
      <c r="AB152" s="455" t="s">
        <v>66</v>
      </c>
      <c r="AC152" s="456" t="s">
        <v>66</v>
      </c>
      <c r="AD152" s="408" t="s">
        <v>66</v>
      </c>
      <c r="AE152" s="408" t="s">
        <v>66</v>
      </c>
      <c r="AF152" s="455" t="s">
        <v>66</v>
      </c>
      <c r="AG152" s="44"/>
      <c r="AH152" s="806"/>
      <c r="AI152" s="806"/>
      <c r="AJ152" s="806"/>
      <c r="AK152" s="806"/>
      <c r="AL152" s="806"/>
      <c r="AM152" s="806"/>
      <c r="AN152" s="806"/>
      <c r="AO152" s="806"/>
      <c r="AP152" s="806"/>
      <c r="AQ152" s="804"/>
      <c r="AR152" s="804"/>
    </row>
    <row r="153" spans="1:44" s="20" customFormat="1" ht="13.8" x14ac:dyDescent="0.3">
      <c r="A153" s="780" t="s">
        <v>121</v>
      </c>
      <c r="B153" s="804"/>
      <c r="C153" s="806"/>
      <c r="D153" s="804"/>
      <c r="E153" s="457" t="s">
        <v>1760</v>
      </c>
      <c r="F153" s="20" t="s">
        <v>1763</v>
      </c>
      <c r="G153" s="20" t="s">
        <v>1766</v>
      </c>
      <c r="H153" s="124">
        <v>7331423009138</v>
      </c>
      <c r="I153" s="408" t="s">
        <v>66</v>
      </c>
      <c r="J153" s="408" t="s">
        <v>66</v>
      </c>
      <c r="K153" s="408" t="s">
        <v>66</v>
      </c>
      <c r="L153" s="408" t="s">
        <v>66</v>
      </c>
      <c r="M153" s="408" t="s">
        <v>66</v>
      </c>
      <c r="N153" s="408" t="s">
        <v>66</v>
      </c>
      <c r="O153" s="408" t="s">
        <v>66</v>
      </c>
      <c r="P153" s="455" t="s">
        <v>66</v>
      </c>
      <c r="Q153" s="456" t="s">
        <v>66</v>
      </c>
      <c r="R153" s="408" t="s">
        <v>66</v>
      </c>
      <c r="S153" s="408" t="s">
        <v>66</v>
      </c>
      <c r="T153" s="455" t="s">
        <v>66</v>
      </c>
      <c r="U153" s="456" t="s">
        <v>66</v>
      </c>
      <c r="V153" s="408" t="s">
        <v>66</v>
      </c>
      <c r="W153" s="408" t="s">
        <v>66</v>
      </c>
      <c r="X153" s="455" t="s">
        <v>66</v>
      </c>
      <c r="Y153" s="456" t="s">
        <v>66</v>
      </c>
      <c r="Z153" s="408" t="s">
        <v>66</v>
      </c>
      <c r="AA153" s="408" t="s">
        <v>66</v>
      </c>
      <c r="AB153" s="455" t="s">
        <v>66</v>
      </c>
      <c r="AC153" s="456" t="s">
        <v>66</v>
      </c>
      <c r="AD153" s="408" t="s">
        <v>66</v>
      </c>
      <c r="AE153" s="408" t="s">
        <v>66</v>
      </c>
      <c r="AF153" s="455" t="s">
        <v>66</v>
      </c>
      <c r="AG153" s="44"/>
      <c r="AH153" s="806"/>
      <c r="AI153" s="806"/>
      <c r="AJ153" s="806"/>
      <c r="AK153" s="806"/>
      <c r="AL153" s="806"/>
      <c r="AM153" s="806"/>
      <c r="AN153" s="806"/>
      <c r="AO153" s="806"/>
      <c r="AP153" s="806"/>
      <c r="AQ153" s="804"/>
      <c r="AR153" s="804"/>
    </row>
    <row r="154" spans="1:44" s="20" customFormat="1" ht="13.8" x14ac:dyDescent="0.3">
      <c r="A154" s="780" t="s">
        <v>121</v>
      </c>
      <c r="B154" s="804"/>
      <c r="C154" s="806"/>
      <c r="D154" s="804"/>
      <c r="E154" s="457" t="s">
        <v>1760</v>
      </c>
      <c r="F154" s="20" t="s">
        <v>1765</v>
      </c>
      <c r="G154" s="20" t="s">
        <v>1766</v>
      </c>
      <c r="H154" s="124">
        <v>7331423009145</v>
      </c>
      <c r="I154" s="408" t="s">
        <v>66</v>
      </c>
      <c r="J154" s="408" t="s">
        <v>66</v>
      </c>
      <c r="K154" s="408" t="s">
        <v>66</v>
      </c>
      <c r="L154" s="408" t="s">
        <v>66</v>
      </c>
      <c r="M154" s="408" t="s">
        <v>66</v>
      </c>
      <c r="N154" s="408" t="s">
        <v>66</v>
      </c>
      <c r="O154" s="408" t="s">
        <v>66</v>
      </c>
      <c r="P154" s="455" t="s">
        <v>66</v>
      </c>
      <c r="Q154" s="456" t="s">
        <v>66</v>
      </c>
      <c r="R154" s="408" t="s">
        <v>66</v>
      </c>
      <c r="S154" s="408" t="s">
        <v>66</v>
      </c>
      <c r="T154" s="455" t="s">
        <v>66</v>
      </c>
      <c r="U154" s="456" t="s">
        <v>66</v>
      </c>
      <c r="V154" s="408" t="s">
        <v>66</v>
      </c>
      <c r="W154" s="408" t="s">
        <v>66</v>
      </c>
      <c r="X154" s="455" t="s">
        <v>66</v>
      </c>
      <c r="Y154" s="456" t="s">
        <v>66</v>
      </c>
      <c r="Z154" s="408" t="s">
        <v>66</v>
      </c>
      <c r="AA154" s="408" t="s">
        <v>66</v>
      </c>
      <c r="AB154" s="455" t="s">
        <v>66</v>
      </c>
      <c r="AC154" s="456" t="s">
        <v>66</v>
      </c>
      <c r="AD154" s="408" t="s">
        <v>66</v>
      </c>
      <c r="AE154" s="408" t="s">
        <v>66</v>
      </c>
      <c r="AF154" s="455" t="s">
        <v>66</v>
      </c>
      <c r="AG154" s="44"/>
      <c r="AH154" s="806"/>
      <c r="AI154" s="806"/>
      <c r="AJ154" s="806"/>
      <c r="AK154" s="806"/>
      <c r="AL154" s="806"/>
      <c r="AM154" s="806"/>
      <c r="AN154" s="806"/>
      <c r="AO154" s="806"/>
      <c r="AP154" s="806"/>
      <c r="AQ154" s="804"/>
      <c r="AR154" s="804"/>
    </row>
    <row r="155" spans="1:44" s="20" customFormat="1" x14ac:dyDescent="0.25">
      <c r="B155" s="141"/>
      <c r="C155" s="21"/>
      <c r="D155" s="35" t="s">
        <v>128</v>
      </c>
      <c r="E155" s="21"/>
      <c r="F155" s="21"/>
      <c r="G155" s="21"/>
      <c r="H155" s="68"/>
      <c r="I155" s="68"/>
      <c r="J155" s="68"/>
      <c r="K155" s="68"/>
      <c r="L155" s="38"/>
      <c r="M155" s="38"/>
      <c r="N155" s="7"/>
      <c r="O155" s="37"/>
      <c r="P155" s="228"/>
      <c r="Q155" s="35"/>
      <c r="R155" s="35"/>
      <c r="S155" s="35"/>
      <c r="T155" s="72"/>
      <c r="U155" s="46"/>
      <c r="V155" s="35"/>
      <c r="W155" s="35"/>
      <c r="X155" s="72"/>
      <c r="Y155" s="46"/>
      <c r="Z155" s="35"/>
      <c r="AA155" s="35"/>
      <c r="AB155" s="72"/>
      <c r="AC155" s="46"/>
      <c r="AD155" s="35"/>
      <c r="AE155" s="35"/>
      <c r="AF155" s="72"/>
      <c r="AG155" s="46"/>
      <c r="AI155" s="39"/>
      <c r="AK155" s="39"/>
      <c r="AP155" s="14"/>
      <c r="AQ155" s="97"/>
      <c r="AR155" s="15"/>
    </row>
    <row r="156" spans="1:44" s="108" customFormat="1" ht="15.6" x14ac:dyDescent="0.3">
      <c r="A156" s="400" t="s">
        <v>1446</v>
      </c>
      <c r="B156" s="400"/>
      <c r="C156" s="400"/>
      <c r="D156" s="35" t="s">
        <v>128</v>
      </c>
      <c r="E156" s="234"/>
      <c r="F156" s="196"/>
      <c r="G156" s="196"/>
      <c r="H156" s="203"/>
      <c r="I156" s="203"/>
      <c r="J156" s="203"/>
      <c r="K156" s="203"/>
      <c r="L156" s="203"/>
      <c r="M156" s="203"/>
      <c r="N156" s="205"/>
      <c r="O156" s="206"/>
      <c r="P156" s="276"/>
      <c r="Q156" s="196"/>
      <c r="R156" s="196"/>
      <c r="S156" s="196"/>
      <c r="T156" s="197"/>
      <c r="U156" s="195"/>
      <c r="V156" s="196"/>
      <c r="W156" s="196"/>
      <c r="X156" s="197"/>
      <c r="Y156" s="195"/>
      <c r="Z156" s="196"/>
      <c r="AA156" s="196"/>
      <c r="AB156" s="197"/>
      <c r="AC156" s="195"/>
      <c r="AD156" s="196"/>
      <c r="AE156" s="196"/>
      <c r="AF156" s="197"/>
      <c r="AG156" s="195"/>
    </row>
    <row r="157" spans="1:44" s="20" customFormat="1" ht="13.8" x14ac:dyDescent="0.3">
      <c r="A157" s="410" t="s">
        <v>121</v>
      </c>
      <c r="B157" s="411"/>
      <c r="C157" s="412" t="s">
        <v>420</v>
      </c>
      <c r="D157" s="412" t="s">
        <v>87</v>
      </c>
      <c r="E157" s="413" t="s">
        <v>1402</v>
      </c>
      <c r="F157" s="412" t="s">
        <v>54</v>
      </c>
      <c r="G157" s="412" t="s">
        <v>1485</v>
      </c>
      <c r="H157" s="415" t="s">
        <v>421</v>
      </c>
      <c r="I157" s="415" t="s">
        <v>66</v>
      </c>
      <c r="J157" s="415" t="s">
        <v>421</v>
      </c>
      <c r="K157" s="415" t="s">
        <v>66</v>
      </c>
      <c r="L157" s="415" t="s">
        <v>148</v>
      </c>
      <c r="M157" s="415" t="s">
        <v>327</v>
      </c>
      <c r="N157" s="416">
        <v>19.989999999999998</v>
      </c>
      <c r="O157" s="417">
        <v>1</v>
      </c>
      <c r="P157" s="418">
        <v>12</v>
      </c>
      <c r="Q157" s="419">
        <f t="shared" ref="Q157:Q164" si="88">CONVERT(180,"g","lbm")</f>
        <v>0.39683207193277964</v>
      </c>
      <c r="R157" s="412">
        <v>3.25</v>
      </c>
      <c r="S157" s="412">
        <v>3.375</v>
      </c>
      <c r="T157" s="420">
        <v>10</v>
      </c>
      <c r="U157" s="419">
        <f t="shared" ref="U157:U164" si="89">CONVERT(180,"g","lbm")</f>
        <v>0.39683207193277964</v>
      </c>
      <c r="V157" s="412">
        <v>3.25</v>
      </c>
      <c r="W157" s="412">
        <v>3.375</v>
      </c>
      <c r="X157" s="420">
        <v>10</v>
      </c>
      <c r="Y157" s="419" t="s">
        <v>66</v>
      </c>
      <c r="Z157" s="412" t="s">
        <v>66</v>
      </c>
      <c r="AA157" s="412" t="s">
        <v>66</v>
      </c>
      <c r="AB157" s="420" t="s">
        <v>66</v>
      </c>
      <c r="AC157" s="419">
        <f t="shared" ref="AC157:AC164" si="90">CONVERT(2570,"g","lbm")</f>
        <v>5.6658801381513539</v>
      </c>
      <c r="AD157" s="412">
        <v>19.25</v>
      </c>
      <c r="AE157" s="412">
        <v>10.5</v>
      </c>
      <c r="AF157" s="420">
        <v>7.75</v>
      </c>
      <c r="AG157" s="419">
        <f t="shared" ref="AG157:AG164" si="91">AD157*AE157*AF157/(12^3)</f>
        <v>0.90652126736111116</v>
      </c>
      <c r="AH157" s="410" t="s">
        <v>1920</v>
      </c>
      <c r="AI157" s="410" t="s">
        <v>1921</v>
      </c>
      <c r="AJ157" s="410" t="s">
        <v>1922</v>
      </c>
      <c r="AK157" s="410" t="s">
        <v>1923</v>
      </c>
      <c r="AL157" s="410" t="s">
        <v>426</v>
      </c>
      <c r="AM157" s="410" t="s">
        <v>1924</v>
      </c>
      <c r="AN157" s="410" t="s">
        <v>1925</v>
      </c>
      <c r="AO157" s="410" t="s">
        <v>1919</v>
      </c>
      <c r="AP157" s="441" t="s">
        <v>1918</v>
      </c>
      <c r="AQ157" s="410" t="s">
        <v>1839</v>
      </c>
      <c r="AR157" s="422" t="s">
        <v>1838</v>
      </c>
    </row>
    <row r="158" spans="1:44" s="20" customFormat="1" ht="13.8" x14ac:dyDescent="0.3">
      <c r="A158" s="20" t="s">
        <v>121</v>
      </c>
      <c r="B158" s="141"/>
      <c r="C158" s="35" t="s">
        <v>420</v>
      </c>
      <c r="D158" s="35" t="s">
        <v>92</v>
      </c>
      <c r="E158" s="36" t="s">
        <v>1402</v>
      </c>
      <c r="F158" s="35" t="s">
        <v>51</v>
      </c>
      <c r="G158" s="35" t="s">
        <v>1485</v>
      </c>
      <c r="H158" s="38" t="s">
        <v>422</v>
      </c>
      <c r="I158" s="38" t="s">
        <v>66</v>
      </c>
      <c r="J158" s="447" t="s">
        <v>422</v>
      </c>
      <c r="K158" s="447" t="s">
        <v>66</v>
      </c>
      <c r="L158" s="38" t="s">
        <v>148</v>
      </c>
      <c r="M158" s="38" t="s">
        <v>327</v>
      </c>
      <c r="N158" s="7">
        <v>19.989999999999998</v>
      </c>
      <c r="O158" s="37">
        <v>1</v>
      </c>
      <c r="P158" s="228">
        <v>12</v>
      </c>
      <c r="Q158" s="46">
        <f t="shared" si="88"/>
        <v>0.39683207193277964</v>
      </c>
      <c r="R158" s="35">
        <v>3.25</v>
      </c>
      <c r="S158" s="35">
        <v>3.375</v>
      </c>
      <c r="T158" s="72">
        <v>10</v>
      </c>
      <c r="U158" s="46">
        <f t="shared" si="89"/>
        <v>0.39683207193277964</v>
      </c>
      <c r="V158" s="35">
        <v>3.25</v>
      </c>
      <c r="W158" s="35">
        <v>3.375</v>
      </c>
      <c r="X158" s="72">
        <v>10</v>
      </c>
      <c r="Y158" s="46" t="s">
        <v>66</v>
      </c>
      <c r="Z158" s="35" t="s">
        <v>66</v>
      </c>
      <c r="AA158" s="35" t="s">
        <v>66</v>
      </c>
      <c r="AB158" s="72" t="s">
        <v>66</v>
      </c>
      <c r="AC158" s="46">
        <f t="shared" si="90"/>
        <v>5.6658801381513539</v>
      </c>
      <c r="AD158" s="35">
        <v>19.25</v>
      </c>
      <c r="AE158" s="35">
        <v>10.5</v>
      </c>
      <c r="AF158" s="72">
        <v>7.75</v>
      </c>
      <c r="AG158" s="46">
        <f t="shared" si="91"/>
        <v>0.90652126736111116</v>
      </c>
      <c r="AH158" s="20" t="s">
        <v>1920</v>
      </c>
      <c r="AI158" s="20" t="s">
        <v>1921</v>
      </c>
      <c r="AJ158" s="20" t="s">
        <v>1922</v>
      </c>
      <c r="AK158" s="20" t="s">
        <v>1923</v>
      </c>
      <c r="AL158" s="20" t="s">
        <v>426</v>
      </c>
      <c r="AM158" s="20" t="s">
        <v>1924</v>
      </c>
      <c r="AN158" s="20" t="s">
        <v>1925</v>
      </c>
      <c r="AO158" s="20" t="s">
        <v>1919</v>
      </c>
      <c r="AP158" s="246" t="s">
        <v>1918</v>
      </c>
      <c r="AQ158" s="20" t="s">
        <v>1839</v>
      </c>
      <c r="AR158" s="97" t="s">
        <v>1838</v>
      </c>
    </row>
    <row r="159" spans="1:44" s="20" customFormat="1" ht="13.8" x14ac:dyDescent="0.3">
      <c r="A159" s="20" t="s">
        <v>121</v>
      </c>
      <c r="B159" s="141"/>
      <c r="C159" s="35" t="s">
        <v>420</v>
      </c>
      <c r="D159" s="35" t="s">
        <v>89</v>
      </c>
      <c r="E159" s="36" t="s">
        <v>1402</v>
      </c>
      <c r="F159" s="35" t="s">
        <v>50</v>
      </c>
      <c r="G159" s="35" t="s">
        <v>1485</v>
      </c>
      <c r="H159" s="38" t="s">
        <v>423</v>
      </c>
      <c r="I159" s="38" t="s">
        <v>66</v>
      </c>
      <c r="J159" s="447" t="s">
        <v>423</v>
      </c>
      <c r="K159" s="447" t="s">
        <v>66</v>
      </c>
      <c r="L159" s="38" t="s">
        <v>148</v>
      </c>
      <c r="M159" s="38" t="s">
        <v>327</v>
      </c>
      <c r="N159" s="7">
        <v>19.989999999999998</v>
      </c>
      <c r="O159" s="37">
        <v>1</v>
      </c>
      <c r="P159" s="228">
        <v>12</v>
      </c>
      <c r="Q159" s="46">
        <f t="shared" si="88"/>
        <v>0.39683207193277964</v>
      </c>
      <c r="R159" s="35">
        <v>3.25</v>
      </c>
      <c r="S159" s="35">
        <v>3.375</v>
      </c>
      <c r="T159" s="72">
        <v>10</v>
      </c>
      <c r="U159" s="46">
        <f t="shared" si="89"/>
        <v>0.39683207193277964</v>
      </c>
      <c r="V159" s="35">
        <v>3.25</v>
      </c>
      <c r="W159" s="35">
        <v>3.375</v>
      </c>
      <c r="X159" s="72">
        <v>10</v>
      </c>
      <c r="Y159" s="46" t="s">
        <v>66</v>
      </c>
      <c r="Z159" s="35" t="s">
        <v>66</v>
      </c>
      <c r="AA159" s="35" t="s">
        <v>66</v>
      </c>
      <c r="AB159" s="72" t="s">
        <v>66</v>
      </c>
      <c r="AC159" s="46">
        <f t="shared" si="90"/>
        <v>5.6658801381513539</v>
      </c>
      <c r="AD159" s="35">
        <v>19.25</v>
      </c>
      <c r="AE159" s="35">
        <v>10.5</v>
      </c>
      <c r="AF159" s="72">
        <v>7.75</v>
      </c>
      <c r="AG159" s="46">
        <f t="shared" si="91"/>
        <v>0.90652126736111116</v>
      </c>
      <c r="AH159" s="20" t="s">
        <v>1920</v>
      </c>
      <c r="AI159" s="20" t="s">
        <v>1921</v>
      </c>
      <c r="AJ159" s="20" t="s">
        <v>1922</v>
      </c>
      <c r="AK159" s="20" t="s">
        <v>1923</v>
      </c>
      <c r="AL159" s="20" t="s">
        <v>426</v>
      </c>
      <c r="AM159" s="20" t="s">
        <v>1924</v>
      </c>
      <c r="AN159" s="20" t="s">
        <v>1925</v>
      </c>
      <c r="AO159" s="20" t="s">
        <v>1919</v>
      </c>
      <c r="AP159" s="246" t="s">
        <v>1918</v>
      </c>
      <c r="AQ159" s="20" t="s">
        <v>1839</v>
      </c>
      <c r="AR159" s="97" t="s">
        <v>1838</v>
      </c>
    </row>
    <row r="160" spans="1:44" s="20" customFormat="1" ht="13.8" x14ac:dyDescent="0.3">
      <c r="A160" s="20" t="s">
        <v>121</v>
      </c>
      <c r="B160" s="141"/>
      <c r="C160" s="35" t="s">
        <v>420</v>
      </c>
      <c r="D160" s="35" t="s">
        <v>348</v>
      </c>
      <c r="E160" s="36" t="s">
        <v>1402</v>
      </c>
      <c r="F160" s="35" t="s">
        <v>349</v>
      </c>
      <c r="G160" s="35" t="s">
        <v>1485</v>
      </c>
      <c r="H160" s="38" t="s">
        <v>424</v>
      </c>
      <c r="I160" s="38" t="s">
        <v>66</v>
      </c>
      <c r="J160" s="447" t="s">
        <v>424</v>
      </c>
      <c r="K160" s="447" t="s">
        <v>66</v>
      </c>
      <c r="L160" s="38" t="s">
        <v>148</v>
      </c>
      <c r="M160" s="38" t="s">
        <v>327</v>
      </c>
      <c r="N160" s="7">
        <v>19.989999999999998</v>
      </c>
      <c r="O160" s="37">
        <v>1</v>
      </c>
      <c r="P160" s="228">
        <v>12</v>
      </c>
      <c r="Q160" s="46">
        <f t="shared" si="88"/>
        <v>0.39683207193277964</v>
      </c>
      <c r="R160" s="35">
        <v>3.25</v>
      </c>
      <c r="S160" s="35">
        <v>3.375</v>
      </c>
      <c r="T160" s="72">
        <v>10</v>
      </c>
      <c r="U160" s="46">
        <f t="shared" si="89"/>
        <v>0.39683207193277964</v>
      </c>
      <c r="V160" s="35">
        <v>3.25</v>
      </c>
      <c r="W160" s="35">
        <v>3.375</v>
      </c>
      <c r="X160" s="72">
        <v>10</v>
      </c>
      <c r="Y160" s="46" t="s">
        <v>66</v>
      </c>
      <c r="Z160" s="35" t="s">
        <v>66</v>
      </c>
      <c r="AA160" s="35" t="s">
        <v>66</v>
      </c>
      <c r="AB160" s="72" t="s">
        <v>66</v>
      </c>
      <c r="AC160" s="46">
        <f t="shared" si="90"/>
        <v>5.6658801381513539</v>
      </c>
      <c r="AD160" s="35">
        <v>19.25</v>
      </c>
      <c r="AE160" s="35">
        <v>10.5</v>
      </c>
      <c r="AF160" s="72">
        <v>7.75</v>
      </c>
      <c r="AG160" s="46">
        <f t="shared" si="91"/>
        <v>0.90652126736111116</v>
      </c>
      <c r="AH160" s="20" t="s">
        <v>1920</v>
      </c>
      <c r="AI160" s="20" t="s">
        <v>1921</v>
      </c>
      <c r="AJ160" s="20" t="s">
        <v>1922</v>
      </c>
      <c r="AK160" s="20" t="s">
        <v>1923</v>
      </c>
      <c r="AL160" s="20" t="s">
        <v>426</v>
      </c>
      <c r="AM160" s="20" t="s">
        <v>1924</v>
      </c>
      <c r="AN160" s="20" t="s">
        <v>1925</v>
      </c>
      <c r="AO160" s="20" t="s">
        <v>1919</v>
      </c>
      <c r="AP160" s="246" t="s">
        <v>1918</v>
      </c>
      <c r="AQ160" s="20" t="s">
        <v>1839</v>
      </c>
      <c r="AR160" s="97" t="s">
        <v>1838</v>
      </c>
    </row>
    <row r="161" spans="1:44" s="20" customFormat="1" ht="13.8" x14ac:dyDescent="0.3">
      <c r="A161" s="20" t="s">
        <v>121</v>
      </c>
      <c r="B161" s="141"/>
      <c r="C161" s="35" t="s">
        <v>420</v>
      </c>
      <c r="D161" s="35" t="s">
        <v>95</v>
      </c>
      <c r="E161" s="36" t="s">
        <v>1402</v>
      </c>
      <c r="F161" s="35" t="s">
        <v>111</v>
      </c>
      <c r="G161" s="35" t="s">
        <v>1485</v>
      </c>
      <c r="H161" s="38" t="s">
        <v>425</v>
      </c>
      <c r="I161" s="38" t="s">
        <v>66</v>
      </c>
      <c r="J161" s="447" t="s">
        <v>425</v>
      </c>
      <c r="K161" s="447" t="s">
        <v>66</v>
      </c>
      <c r="L161" s="38" t="s">
        <v>148</v>
      </c>
      <c r="M161" s="38" t="s">
        <v>327</v>
      </c>
      <c r="N161" s="7">
        <v>19.989999999999998</v>
      </c>
      <c r="O161" s="37">
        <v>1</v>
      </c>
      <c r="P161" s="228">
        <v>12</v>
      </c>
      <c r="Q161" s="46">
        <f t="shared" si="88"/>
        <v>0.39683207193277964</v>
      </c>
      <c r="R161" s="35">
        <v>3.25</v>
      </c>
      <c r="S161" s="35">
        <v>3.375</v>
      </c>
      <c r="T161" s="72">
        <v>10</v>
      </c>
      <c r="U161" s="46">
        <f t="shared" si="89"/>
        <v>0.39683207193277964</v>
      </c>
      <c r="V161" s="35">
        <v>3.25</v>
      </c>
      <c r="W161" s="35">
        <v>3.375</v>
      </c>
      <c r="X161" s="72">
        <v>10</v>
      </c>
      <c r="Y161" s="46" t="s">
        <v>66</v>
      </c>
      <c r="Z161" s="35" t="s">
        <v>66</v>
      </c>
      <c r="AA161" s="35" t="s">
        <v>66</v>
      </c>
      <c r="AB161" s="72" t="s">
        <v>66</v>
      </c>
      <c r="AC161" s="46">
        <f t="shared" si="90"/>
        <v>5.6658801381513539</v>
      </c>
      <c r="AD161" s="35">
        <v>19.25</v>
      </c>
      <c r="AE161" s="35">
        <v>10.5</v>
      </c>
      <c r="AF161" s="72">
        <v>7.75</v>
      </c>
      <c r="AG161" s="46">
        <f t="shared" si="91"/>
        <v>0.90652126736111116</v>
      </c>
      <c r="AH161" s="20" t="s">
        <v>1920</v>
      </c>
      <c r="AI161" s="20" t="s">
        <v>1921</v>
      </c>
      <c r="AJ161" s="20" t="s">
        <v>1922</v>
      </c>
      <c r="AK161" s="20" t="s">
        <v>1923</v>
      </c>
      <c r="AL161" s="20" t="s">
        <v>426</v>
      </c>
      <c r="AM161" s="20" t="s">
        <v>1924</v>
      </c>
      <c r="AN161" s="20" t="s">
        <v>1925</v>
      </c>
      <c r="AO161" s="20" t="s">
        <v>1919</v>
      </c>
      <c r="AP161" s="246" t="s">
        <v>1918</v>
      </c>
      <c r="AQ161" s="20" t="s">
        <v>1839</v>
      </c>
      <c r="AR161" s="97" t="s">
        <v>1838</v>
      </c>
    </row>
    <row r="162" spans="1:44" s="20" customFormat="1" ht="13.8" x14ac:dyDescent="0.3">
      <c r="A162" s="20" t="s">
        <v>121</v>
      </c>
      <c r="B162" s="141"/>
      <c r="C162" s="35" t="s">
        <v>420</v>
      </c>
      <c r="D162" s="35" t="s">
        <v>784</v>
      </c>
      <c r="E162" s="36" t="s">
        <v>1402</v>
      </c>
      <c r="F162" s="35" t="s">
        <v>882</v>
      </c>
      <c r="G162" s="35" t="s">
        <v>1485</v>
      </c>
      <c r="H162" s="38" t="s">
        <v>802</v>
      </c>
      <c r="I162" s="38" t="s">
        <v>66</v>
      </c>
      <c r="J162" s="447" t="s">
        <v>802</v>
      </c>
      <c r="K162" s="447" t="s">
        <v>66</v>
      </c>
      <c r="L162" s="38" t="s">
        <v>148</v>
      </c>
      <c r="M162" s="38" t="s">
        <v>327</v>
      </c>
      <c r="N162" s="7">
        <v>19.989999999999998</v>
      </c>
      <c r="O162" s="37">
        <v>1</v>
      </c>
      <c r="P162" s="228">
        <v>12</v>
      </c>
      <c r="Q162" s="46">
        <f t="shared" si="88"/>
        <v>0.39683207193277964</v>
      </c>
      <c r="R162" s="35">
        <v>3.25</v>
      </c>
      <c r="S162" s="35">
        <v>3.375</v>
      </c>
      <c r="T162" s="72">
        <v>10</v>
      </c>
      <c r="U162" s="46">
        <f t="shared" si="89"/>
        <v>0.39683207193277964</v>
      </c>
      <c r="V162" s="35">
        <v>3.25</v>
      </c>
      <c r="W162" s="35">
        <v>3.375</v>
      </c>
      <c r="X162" s="72">
        <v>10</v>
      </c>
      <c r="Y162" s="46" t="s">
        <v>66</v>
      </c>
      <c r="Z162" s="35" t="s">
        <v>66</v>
      </c>
      <c r="AA162" s="35" t="s">
        <v>66</v>
      </c>
      <c r="AB162" s="72" t="s">
        <v>66</v>
      </c>
      <c r="AC162" s="46">
        <f t="shared" si="90"/>
        <v>5.6658801381513539</v>
      </c>
      <c r="AD162" s="35">
        <v>19.25</v>
      </c>
      <c r="AE162" s="35">
        <v>10.5</v>
      </c>
      <c r="AF162" s="72">
        <v>7.75</v>
      </c>
      <c r="AG162" s="46">
        <f t="shared" si="91"/>
        <v>0.90652126736111116</v>
      </c>
      <c r="AH162" s="20" t="s">
        <v>1920</v>
      </c>
      <c r="AI162" s="20" t="s">
        <v>1921</v>
      </c>
      <c r="AJ162" s="20" t="s">
        <v>1922</v>
      </c>
      <c r="AK162" s="20" t="s">
        <v>1923</v>
      </c>
      <c r="AL162" s="20" t="s">
        <v>426</v>
      </c>
      <c r="AM162" s="20" t="s">
        <v>1924</v>
      </c>
      <c r="AN162" s="20" t="s">
        <v>1925</v>
      </c>
      <c r="AO162" s="20" t="s">
        <v>1919</v>
      </c>
      <c r="AP162" s="246" t="s">
        <v>1918</v>
      </c>
      <c r="AQ162" s="20" t="s">
        <v>1839</v>
      </c>
      <c r="AR162" s="97" t="s">
        <v>1838</v>
      </c>
    </row>
    <row r="163" spans="1:44" s="20" customFormat="1" ht="13.8" x14ac:dyDescent="0.3">
      <c r="A163" s="20" t="s">
        <v>121</v>
      </c>
      <c r="B163" s="141"/>
      <c r="C163" s="35" t="s">
        <v>420</v>
      </c>
      <c r="D163" s="35" t="s">
        <v>785</v>
      </c>
      <c r="E163" s="36" t="s">
        <v>1402</v>
      </c>
      <c r="F163" s="35" t="s">
        <v>881</v>
      </c>
      <c r="G163" s="35" t="s">
        <v>1485</v>
      </c>
      <c r="H163" s="38" t="s">
        <v>803</v>
      </c>
      <c r="I163" s="38" t="s">
        <v>66</v>
      </c>
      <c r="J163" s="447" t="s">
        <v>803</v>
      </c>
      <c r="K163" s="447" t="s">
        <v>66</v>
      </c>
      <c r="L163" s="38" t="s">
        <v>148</v>
      </c>
      <c r="M163" s="38" t="s">
        <v>327</v>
      </c>
      <c r="N163" s="7">
        <v>19.989999999999998</v>
      </c>
      <c r="O163" s="37">
        <v>1</v>
      </c>
      <c r="P163" s="228">
        <v>12</v>
      </c>
      <c r="Q163" s="46">
        <f t="shared" si="88"/>
        <v>0.39683207193277964</v>
      </c>
      <c r="R163" s="35">
        <v>3.25</v>
      </c>
      <c r="S163" s="35">
        <v>3.375</v>
      </c>
      <c r="T163" s="72">
        <v>10</v>
      </c>
      <c r="U163" s="46">
        <f t="shared" si="89"/>
        <v>0.39683207193277964</v>
      </c>
      <c r="V163" s="35">
        <v>3.25</v>
      </c>
      <c r="W163" s="35">
        <v>3.375</v>
      </c>
      <c r="X163" s="72">
        <v>10</v>
      </c>
      <c r="Y163" s="46" t="s">
        <v>66</v>
      </c>
      <c r="Z163" s="35" t="s">
        <v>66</v>
      </c>
      <c r="AA163" s="35" t="s">
        <v>66</v>
      </c>
      <c r="AB163" s="72" t="s">
        <v>66</v>
      </c>
      <c r="AC163" s="46">
        <f t="shared" si="90"/>
        <v>5.6658801381513539</v>
      </c>
      <c r="AD163" s="35">
        <v>19.25</v>
      </c>
      <c r="AE163" s="35">
        <v>10.5</v>
      </c>
      <c r="AF163" s="72">
        <v>7.75</v>
      </c>
      <c r="AG163" s="46">
        <f t="shared" si="91"/>
        <v>0.90652126736111116</v>
      </c>
      <c r="AH163" s="20" t="s">
        <v>1920</v>
      </c>
      <c r="AI163" s="20" t="s">
        <v>1921</v>
      </c>
      <c r="AJ163" s="20" t="s">
        <v>1922</v>
      </c>
      <c r="AK163" s="20" t="s">
        <v>1923</v>
      </c>
      <c r="AL163" s="20" t="s">
        <v>426</v>
      </c>
      <c r="AM163" s="20" t="s">
        <v>1924</v>
      </c>
      <c r="AN163" s="20" t="s">
        <v>1925</v>
      </c>
      <c r="AO163" s="20" t="s">
        <v>1919</v>
      </c>
      <c r="AP163" s="246" t="s">
        <v>1918</v>
      </c>
      <c r="AQ163" s="20" t="s">
        <v>1839</v>
      </c>
      <c r="AR163" s="97" t="s">
        <v>1838</v>
      </c>
    </row>
    <row r="164" spans="1:44" s="20" customFormat="1" ht="13.8" x14ac:dyDescent="0.3">
      <c r="A164" s="20" t="s">
        <v>121</v>
      </c>
      <c r="B164" s="141"/>
      <c r="C164" s="35" t="s">
        <v>420</v>
      </c>
      <c r="D164" s="35" t="s">
        <v>786</v>
      </c>
      <c r="E164" s="36" t="s">
        <v>1402</v>
      </c>
      <c r="F164" s="35" t="s">
        <v>1712</v>
      </c>
      <c r="G164" s="35" t="s">
        <v>1485</v>
      </c>
      <c r="H164" s="38" t="s">
        <v>804</v>
      </c>
      <c r="I164" s="38" t="s">
        <v>66</v>
      </c>
      <c r="J164" s="447" t="s">
        <v>1826</v>
      </c>
      <c r="K164" s="447" t="s">
        <v>1771</v>
      </c>
      <c r="L164" s="38" t="s">
        <v>148</v>
      </c>
      <c r="M164" s="38" t="s">
        <v>327</v>
      </c>
      <c r="N164" s="7">
        <v>19.989999999999998</v>
      </c>
      <c r="O164" s="37">
        <v>1</v>
      </c>
      <c r="P164" s="228">
        <v>12</v>
      </c>
      <c r="Q164" s="46">
        <f t="shared" si="88"/>
        <v>0.39683207193277964</v>
      </c>
      <c r="R164" s="35">
        <v>3.25</v>
      </c>
      <c r="S164" s="35">
        <v>3.375</v>
      </c>
      <c r="T164" s="72">
        <v>10</v>
      </c>
      <c r="U164" s="46">
        <f t="shared" si="89"/>
        <v>0.39683207193277964</v>
      </c>
      <c r="V164" s="35">
        <v>3.25</v>
      </c>
      <c r="W164" s="35">
        <v>3.375</v>
      </c>
      <c r="X164" s="72">
        <v>10</v>
      </c>
      <c r="Y164" s="46" t="s">
        <v>66</v>
      </c>
      <c r="Z164" s="35" t="s">
        <v>66</v>
      </c>
      <c r="AA164" s="35" t="s">
        <v>66</v>
      </c>
      <c r="AB164" s="72" t="s">
        <v>66</v>
      </c>
      <c r="AC164" s="46">
        <f t="shared" si="90"/>
        <v>5.6658801381513539</v>
      </c>
      <c r="AD164" s="35">
        <v>19.25</v>
      </c>
      <c r="AE164" s="35">
        <v>10.5</v>
      </c>
      <c r="AF164" s="72">
        <v>7.75</v>
      </c>
      <c r="AG164" s="46">
        <f t="shared" si="91"/>
        <v>0.90652126736111116</v>
      </c>
      <c r="AH164" s="20" t="s">
        <v>1920</v>
      </c>
      <c r="AI164" s="20" t="s">
        <v>1921</v>
      </c>
      <c r="AJ164" s="20" t="s">
        <v>1922</v>
      </c>
      <c r="AK164" s="20" t="s">
        <v>1923</v>
      </c>
      <c r="AL164" s="20" t="s">
        <v>426</v>
      </c>
      <c r="AM164" s="20" t="s">
        <v>1924</v>
      </c>
      <c r="AN164" s="20" t="s">
        <v>1925</v>
      </c>
      <c r="AO164" s="20" t="s">
        <v>1919</v>
      </c>
      <c r="AP164" s="246" t="s">
        <v>1918</v>
      </c>
      <c r="AQ164" s="20" t="s">
        <v>1839</v>
      </c>
      <c r="AR164" s="97" t="s">
        <v>1838</v>
      </c>
    </row>
    <row r="165" spans="1:44" s="20" customFormat="1" x14ac:dyDescent="0.25">
      <c r="B165" s="141"/>
      <c r="C165" s="35"/>
      <c r="D165" s="35" t="s">
        <v>128</v>
      </c>
      <c r="E165" s="36"/>
      <c r="F165" s="35"/>
      <c r="G165" s="35"/>
      <c r="H165" s="38"/>
      <c r="I165" s="38"/>
      <c r="J165" s="38"/>
      <c r="K165" s="38"/>
      <c r="L165" s="38"/>
      <c r="M165" s="38"/>
      <c r="N165" s="7"/>
      <c r="O165" s="37"/>
      <c r="P165" s="228"/>
      <c r="Q165" s="35"/>
      <c r="R165" s="35"/>
      <c r="S165" s="35"/>
      <c r="T165" s="72"/>
      <c r="U165" s="46"/>
      <c r="V165" s="35"/>
      <c r="W165" s="35"/>
      <c r="X165" s="72"/>
      <c r="Y165" s="46"/>
      <c r="Z165" s="35"/>
      <c r="AA165" s="35"/>
      <c r="AB165" s="72"/>
      <c r="AC165" s="46"/>
      <c r="AD165" s="35"/>
      <c r="AE165" s="35"/>
      <c r="AF165" s="72"/>
      <c r="AG165" s="46"/>
      <c r="AP165" s="246"/>
      <c r="AQ165" s="65"/>
    </row>
    <row r="166" spans="1:44" s="108" customFormat="1" ht="15.6" x14ac:dyDescent="0.3">
      <c r="A166" s="399" t="s">
        <v>1445</v>
      </c>
      <c r="B166" s="399"/>
      <c r="C166" s="399"/>
      <c r="D166" s="35" t="s">
        <v>128</v>
      </c>
      <c r="E166" s="234"/>
      <c r="H166" s="203"/>
      <c r="I166" s="203"/>
      <c r="J166" s="203"/>
      <c r="K166" s="203"/>
      <c r="L166" s="203"/>
      <c r="M166" s="203"/>
      <c r="N166" s="205"/>
      <c r="O166" s="206"/>
      <c r="P166" s="276"/>
      <c r="Q166" s="196"/>
      <c r="R166" s="196"/>
      <c r="S166" s="196"/>
      <c r="T166" s="197"/>
      <c r="U166" s="195"/>
      <c r="V166" s="196"/>
      <c r="W166" s="196"/>
      <c r="X166" s="197"/>
      <c r="Y166" s="195"/>
      <c r="Z166" s="196"/>
      <c r="AA166" s="196"/>
      <c r="AB166" s="197"/>
      <c r="AC166" s="195"/>
      <c r="AD166" s="196"/>
      <c r="AE166" s="196"/>
      <c r="AF166" s="197"/>
      <c r="AG166" s="195"/>
    </row>
    <row r="167" spans="1:44" s="20" customFormat="1" ht="13.8" x14ac:dyDescent="0.3">
      <c r="A167" s="410" t="s">
        <v>121</v>
      </c>
      <c r="B167" s="411"/>
      <c r="C167" s="412" t="s">
        <v>394</v>
      </c>
      <c r="D167" s="412" t="s">
        <v>87</v>
      </c>
      <c r="E167" s="413" t="s">
        <v>1400</v>
      </c>
      <c r="F167" s="412" t="s">
        <v>54</v>
      </c>
      <c r="G167" s="412" t="s">
        <v>1518</v>
      </c>
      <c r="H167" s="415" t="s">
        <v>398</v>
      </c>
      <c r="I167" s="415" t="s">
        <v>398</v>
      </c>
      <c r="J167" s="415" t="s">
        <v>398</v>
      </c>
      <c r="K167" s="415" t="s">
        <v>66</v>
      </c>
      <c r="L167" s="415" t="s">
        <v>148</v>
      </c>
      <c r="M167" s="415" t="s">
        <v>327</v>
      </c>
      <c r="N167" s="416">
        <v>9.99</v>
      </c>
      <c r="O167" s="417">
        <v>12</v>
      </c>
      <c r="P167" s="418">
        <v>72</v>
      </c>
      <c r="Q167" s="412">
        <f t="shared" ref="Q167:Q176" si="92">CONVERT(40,"g","lbm")</f>
        <v>8.8184904873951031E-2</v>
      </c>
      <c r="R167" s="412">
        <v>2.75</v>
      </c>
      <c r="S167" s="412">
        <v>2.8125</v>
      </c>
      <c r="T167" s="420">
        <v>4.25</v>
      </c>
      <c r="U167" s="419">
        <f t="shared" ref="U167:U176" si="93">CONVERT(50,"g","lbm")</f>
        <v>0.11023113109243879</v>
      </c>
      <c r="V167" s="412">
        <v>3.75</v>
      </c>
      <c r="W167" s="412">
        <v>3.5</v>
      </c>
      <c r="X167" s="420">
        <v>5.75</v>
      </c>
      <c r="Y167" s="419">
        <f t="shared" ref="Y167:Y175" si="94">CONVERT(730,"g","lbm")</f>
        <v>1.6093745139496063</v>
      </c>
      <c r="Z167" s="412">
        <v>9.75</v>
      </c>
      <c r="AA167" s="412">
        <v>6.75</v>
      </c>
      <c r="AB167" s="420">
        <v>8.75</v>
      </c>
      <c r="AC167" s="419">
        <v>10.75</v>
      </c>
      <c r="AD167" s="412">
        <v>20.5</v>
      </c>
      <c r="AE167" s="412">
        <v>10</v>
      </c>
      <c r="AF167" s="420">
        <v>18.25</v>
      </c>
      <c r="AG167" s="419">
        <f t="shared" ref="AG167:AG177" si="95">AD167*AE167*AF167/(12^3)</f>
        <v>2.1650752314814814</v>
      </c>
      <c r="AH167" s="421" t="s">
        <v>1920</v>
      </c>
      <c r="AI167" s="421" t="s">
        <v>393</v>
      </c>
      <c r="AJ167" s="421" t="s">
        <v>1926</v>
      </c>
      <c r="AK167" s="421" t="s">
        <v>427</v>
      </c>
      <c r="AL167" s="410" t="s">
        <v>1928</v>
      </c>
      <c r="AM167" s="410"/>
      <c r="AN167" s="410"/>
      <c r="AO167" s="410"/>
      <c r="AP167" s="421" t="s">
        <v>1927</v>
      </c>
      <c r="AQ167" s="410" t="s">
        <v>1839</v>
      </c>
      <c r="AR167" s="422" t="s">
        <v>1838</v>
      </c>
    </row>
    <row r="168" spans="1:44" s="410" customFormat="1" ht="13.8" x14ac:dyDescent="0.3">
      <c r="A168" s="410" t="s">
        <v>121</v>
      </c>
      <c r="B168" s="411"/>
      <c r="C168" s="412" t="s">
        <v>394</v>
      </c>
      <c r="D168" s="412" t="s">
        <v>91</v>
      </c>
      <c r="E168" s="413" t="s">
        <v>1400</v>
      </c>
      <c r="F168" s="412" t="s">
        <v>52</v>
      </c>
      <c r="G168" s="412" t="s">
        <v>1518</v>
      </c>
      <c r="H168" s="415" t="s">
        <v>402</v>
      </c>
      <c r="I168" s="415" t="s">
        <v>402</v>
      </c>
      <c r="J168" s="415" t="s">
        <v>402</v>
      </c>
      <c r="K168" s="415" t="s">
        <v>66</v>
      </c>
      <c r="L168" s="415" t="s">
        <v>148</v>
      </c>
      <c r="M168" s="415" t="s">
        <v>327</v>
      </c>
      <c r="N168" s="416">
        <v>9.99</v>
      </c>
      <c r="O168" s="417">
        <v>12</v>
      </c>
      <c r="P168" s="418">
        <v>72</v>
      </c>
      <c r="Q168" s="412">
        <f t="shared" si="92"/>
        <v>8.8184904873951031E-2</v>
      </c>
      <c r="R168" s="412">
        <v>2.75</v>
      </c>
      <c r="S168" s="412">
        <v>2.8125</v>
      </c>
      <c r="T168" s="420">
        <v>4.25</v>
      </c>
      <c r="U168" s="419">
        <f t="shared" si="93"/>
        <v>0.11023113109243879</v>
      </c>
      <c r="V168" s="412">
        <v>3.75</v>
      </c>
      <c r="W168" s="412">
        <v>3.5</v>
      </c>
      <c r="X168" s="420">
        <v>5.75</v>
      </c>
      <c r="Y168" s="419">
        <f t="shared" si="94"/>
        <v>1.6093745139496063</v>
      </c>
      <c r="Z168" s="412">
        <v>9.75</v>
      </c>
      <c r="AA168" s="412">
        <v>6.75</v>
      </c>
      <c r="AB168" s="420">
        <v>8.75</v>
      </c>
      <c r="AC168" s="419">
        <v>10.75</v>
      </c>
      <c r="AD168" s="412">
        <v>20.5</v>
      </c>
      <c r="AE168" s="412">
        <v>10</v>
      </c>
      <c r="AF168" s="420">
        <v>18.25</v>
      </c>
      <c r="AG168" s="419">
        <f t="shared" si="95"/>
        <v>2.1650752314814814</v>
      </c>
      <c r="AH168" s="421" t="s">
        <v>1920</v>
      </c>
      <c r="AI168" s="421" t="s">
        <v>393</v>
      </c>
      <c r="AJ168" s="421" t="s">
        <v>1926</v>
      </c>
      <c r="AK168" s="421" t="s">
        <v>427</v>
      </c>
      <c r="AL168" s="410" t="s">
        <v>1928</v>
      </c>
      <c r="AP168" s="421" t="s">
        <v>1927</v>
      </c>
      <c r="AQ168" s="410" t="s">
        <v>1839</v>
      </c>
      <c r="AR168" s="422" t="s">
        <v>1838</v>
      </c>
    </row>
    <row r="169" spans="1:44" s="20" customFormat="1" ht="13.8" x14ac:dyDescent="0.3">
      <c r="A169" s="410" t="s">
        <v>121</v>
      </c>
      <c r="B169" s="411"/>
      <c r="C169" s="412" t="s">
        <v>394</v>
      </c>
      <c r="D169" s="412" t="s">
        <v>371</v>
      </c>
      <c r="E169" s="413" t="s">
        <v>1400</v>
      </c>
      <c r="F169" s="412" t="s">
        <v>1727</v>
      </c>
      <c r="G169" s="412" t="s">
        <v>1518</v>
      </c>
      <c r="H169" s="415" t="s">
        <v>1772</v>
      </c>
      <c r="I169" s="415" t="s">
        <v>1772</v>
      </c>
      <c r="J169" s="415" t="s">
        <v>1772</v>
      </c>
      <c r="K169" s="415" t="s">
        <v>66</v>
      </c>
      <c r="L169" s="415" t="s">
        <v>148</v>
      </c>
      <c r="M169" s="415" t="s">
        <v>327</v>
      </c>
      <c r="N169" s="416">
        <v>9.99</v>
      </c>
      <c r="O169" s="417">
        <v>12</v>
      </c>
      <c r="P169" s="418">
        <v>72</v>
      </c>
      <c r="Q169" s="412">
        <f t="shared" si="92"/>
        <v>8.8184904873951031E-2</v>
      </c>
      <c r="R169" s="412">
        <v>2.75</v>
      </c>
      <c r="S169" s="412">
        <v>2.8125</v>
      </c>
      <c r="T169" s="420">
        <v>4.25</v>
      </c>
      <c r="U169" s="419">
        <f t="shared" si="93"/>
        <v>0.11023113109243879</v>
      </c>
      <c r="V169" s="412">
        <v>3.75</v>
      </c>
      <c r="W169" s="412">
        <v>3.5</v>
      </c>
      <c r="X169" s="420">
        <v>5.75</v>
      </c>
      <c r="Y169" s="419">
        <f t="shared" si="94"/>
        <v>1.6093745139496063</v>
      </c>
      <c r="Z169" s="412">
        <v>9.75</v>
      </c>
      <c r="AA169" s="412">
        <v>6.75</v>
      </c>
      <c r="AB169" s="420">
        <v>8.75</v>
      </c>
      <c r="AC169" s="419">
        <v>10.75</v>
      </c>
      <c r="AD169" s="412">
        <v>20.5</v>
      </c>
      <c r="AE169" s="412">
        <v>10</v>
      </c>
      <c r="AF169" s="420">
        <v>18.25</v>
      </c>
      <c r="AG169" s="419">
        <f t="shared" si="95"/>
        <v>2.1650752314814814</v>
      </c>
      <c r="AH169" s="421" t="s">
        <v>1920</v>
      </c>
      <c r="AI169" s="421" t="s">
        <v>393</v>
      </c>
      <c r="AJ169" s="421" t="s">
        <v>1926</v>
      </c>
      <c r="AK169" s="421" t="s">
        <v>427</v>
      </c>
      <c r="AL169" s="410" t="s">
        <v>1928</v>
      </c>
      <c r="AM169" s="410"/>
      <c r="AN169" s="410"/>
      <c r="AO169" s="410"/>
      <c r="AP169" s="421" t="s">
        <v>1927</v>
      </c>
      <c r="AQ169" s="410" t="s">
        <v>1839</v>
      </c>
      <c r="AR169" s="422" t="s">
        <v>1838</v>
      </c>
    </row>
    <row r="170" spans="1:44" s="16" customFormat="1" ht="13.8" x14ac:dyDescent="0.3">
      <c r="A170" s="16" t="s">
        <v>121</v>
      </c>
      <c r="B170" s="143"/>
      <c r="C170" s="35" t="s">
        <v>394</v>
      </c>
      <c r="D170" s="35" t="s">
        <v>92</v>
      </c>
      <c r="E170" s="18" t="s">
        <v>1400</v>
      </c>
      <c r="F170" s="17" t="s">
        <v>51</v>
      </c>
      <c r="G170" s="17" t="s">
        <v>1518</v>
      </c>
      <c r="H170" s="38" t="s">
        <v>399</v>
      </c>
      <c r="I170" s="447" t="s">
        <v>399</v>
      </c>
      <c r="J170" s="447" t="s">
        <v>399</v>
      </c>
      <c r="K170" s="447" t="s">
        <v>66</v>
      </c>
      <c r="L170" s="29" t="s">
        <v>148</v>
      </c>
      <c r="M170" s="29" t="s">
        <v>327</v>
      </c>
      <c r="N170" s="6">
        <v>9.99</v>
      </c>
      <c r="O170" s="37">
        <v>12</v>
      </c>
      <c r="P170" s="228">
        <v>72</v>
      </c>
      <c r="Q170" s="35">
        <f t="shared" si="92"/>
        <v>8.8184904873951031E-2</v>
      </c>
      <c r="R170" s="35">
        <v>2.75</v>
      </c>
      <c r="S170" s="35">
        <v>2.8125</v>
      </c>
      <c r="T170" s="72">
        <v>4.25</v>
      </c>
      <c r="U170" s="46">
        <f t="shared" si="93"/>
        <v>0.11023113109243879</v>
      </c>
      <c r="V170" s="35">
        <v>3.75</v>
      </c>
      <c r="W170" s="35">
        <v>3.5</v>
      </c>
      <c r="X170" s="72">
        <v>5.75</v>
      </c>
      <c r="Y170" s="46">
        <f t="shared" si="94"/>
        <v>1.6093745139496063</v>
      </c>
      <c r="Z170" s="35">
        <v>9.75</v>
      </c>
      <c r="AA170" s="35">
        <v>6.75</v>
      </c>
      <c r="AB170" s="72">
        <v>8.75</v>
      </c>
      <c r="AC170" s="46">
        <v>10.75</v>
      </c>
      <c r="AD170" s="35">
        <v>20.5</v>
      </c>
      <c r="AE170" s="35">
        <v>10</v>
      </c>
      <c r="AF170" s="72">
        <v>18.25</v>
      </c>
      <c r="AG170" s="46">
        <f t="shared" si="95"/>
        <v>2.1650752314814814</v>
      </c>
      <c r="AH170" s="39" t="s">
        <v>1920</v>
      </c>
      <c r="AI170" s="39" t="s">
        <v>393</v>
      </c>
      <c r="AJ170" s="39" t="s">
        <v>1926</v>
      </c>
      <c r="AK170" s="39" t="s">
        <v>427</v>
      </c>
      <c r="AL170" s="20" t="s">
        <v>1928</v>
      </c>
      <c r="AM170" s="20"/>
      <c r="AN170" s="20"/>
      <c r="AO170" s="20"/>
      <c r="AP170" s="39" t="s">
        <v>1927</v>
      </c>
      <c r="AQ170" s="20" t="s">
        <v>1839</v>
      </c>
      <c r="AR170" s="97" t="s">
        <v>1838</v>
      </c>
    </row>
    <row r="171" spans="1:44" s="16" customFormat="1" ht="13.8" x14ac:dyDescent="0.3">
      <c r="A171" s="16" t="s">
        <v>121</v>
      </c>
      <c r="B171" s="143"/>
      <c r="C171" s="35" t="s">
        <v>394</v>
      </c>
      <c r="D171" s="35" t="s">
        <v>89</v>
      </c>
      <c r="E171" s="18" t="s">
        <v>1400</v>
      </c>
      <c r="F171" s="17" t="s">
        <v>50</v>
      </c>
      <c r="G171" s="17" t="s">
        <v>1518</v>
      </c>
      <c r="H171" s="38" t="s">
        <v>400</v>
      </c>
      <c r="I171" s="447" t="s">
        <v>400</v>
      </c>
      <c r="J171" s="447" t="s">
        <v>400</v>
      </c>
      <c r="K171" s="447" t="s">
        <v>66</v>
      </c>
      <c r="L171" s="29" t="s">
        <v>148</v>
      </c>
      <c r="M171" s="29" t="s">
        <v>327</v>
      </c>
      <c r="N171" s="6">
        <v>9.99</v>
      </c>
      <c r="O171" s="37">
        <v>12</v>
      </c>
      <c r="P171" s="228">
        <v>72</v>
      </c>
      <c r="Q171" s="35">
        <f t="shared" si="92"/>
        <v>8.8184904873951031E-2</v>
      </c>
      <c r="R171" s="35">
        <v>2.75</v>
      </c>
      <c r="S171" s="35">
        <v>2.8125</v>
      </c>
      <c r="T171" s="72">
        <v>4.25</v>
      </c>
      <c r="U171" s="46">
        <f t="shared" si="93"/>
        <v>0.11023113109243879</v>
      </c>
      <c r="V171" s="35">
        <v>3.75</v>
      </c>
      <c r="W171" s="35">
        <v>3.5</v>
      </c>
      <c r="X171" s="72">
        <v>5.75</v>
      </c>
      <c r="Y171" s="46">
        <f t="shared" si="94"/>
        <v>1.6093745139496063</v>
      </c>
      <c r="Z171" s="35">
        <v>9.75</v>
      </c>
      <c r="AA171" s="35">
        <v>6.75</v>
      </c>
      <c r="AB171" s="72">
        <v>8.75</v>
      </c>
      <c r="AC171" s="46">
        <v>10.75</v>
      </c>
      <c r="AD171" s="35">
        <v>20.5</v>
      </c>
      <c r="AE171" s="35">
        <v>10</v>
      </c>
      <c r="AF171" s="72">
        <v>18.25</v>
      </c>
      <c r="AG171" s="46">
        <f t="shared" si="95"/>
        <v>2.1650752314814814</v>
      </c>
      <c r="AH171" s="39" t="s">
        <v>1920</v>
      </c>
      <c r="AI171" s="39" t="s">
        <v>393</v>
      </c>
      <c r="AJ171" s="39" t="s">
        <v>1926</v>
      </c>
      <c r="AK171" s="39" t="s">
        <v>427</v>
      </c>
      <c r="AL171" s="20" t="s">
        <v>1928</v>
      </c>
      <c r="AM171" s="20"/>
      <c r="AN171" s="20"/>
      <c r="AO171" s="20"/>
      <c r="AP171" s="39" t="s">
        <v>1927</v>
      </c>
      <c r="AQ171" s="20" t="s">
        <v>1839</v>
      </c>
      <c r="AR171" s="97" t="s">
        <v>1838</v>
      </c>
    </row>
    <row r="172" spans="1:44" s="16" customFormat="1" ht="13.8" x14ac:dyDescent="0.3">
      <c r="A172" s="16" t="s">
        <v>121</v>
      </c>
      <c r="B172" s="143"/>
      <c r="C172" s="35" t="s">
        <v>394</v>
      </c>
      <c r="D172" s="35" t="s">
        <v>348</v>
      </c>
      <c r="E172" s="18" t="s">
        <v>1400</v>
      </c>
      <c r="F172" s="17" t="s">
        <v>349</v>
      </c>
      <c r="G172" s="17" t="s">
        <v>1518</v>
      </c>
      <c r="H172" s="38" t="s">
        <v>401</v>
      </c>
      <c r="I172" s="447" t="s">
        <v>401</v>
      </c>
      <c r="J172" s="447" t="s">
        <v>401</v>
      </c>
      <c r="K172" s="447" t="s">
        <v>66</v>
      </c>
      <c r="L172" s="29" t="s">
        <v>148</v>
      </c>
      <c r="M172" s="29" t="s">
        <v>327</v>
      </c>
      <c r="N172" s="6">
        <v>9.99</v>
      </c>
      <c r="O172" s="37">
        <v>12</v>
      </c>
      <c r="P172" s="228">
        <v>72</v>
      </c>
      <c r="Q172" s="35">
        <f t="shared" si="92"/>
        <v>8.8184904873951031E-2</v>
      </c>
      <c r="R172" s="35">
        <v>2.75</v>
      </c>
      <c r="S172" s="35">
        <v>2.8125</v>
      </c>
      <c r="T172" s="72">
        <v>4.25</v>
      </c>
      <c r="U172" s="46">
        <f t="shared" si="93"/>
        <v>0.11023113109243879</v>
      </c>
      <c r="V172" s="35">
        <v>3.75</v>
      </c>
      <c r="W172" s="35">
        <v>3.5</v>
      </c>
      <c r="X172" s="72">
        <v>5.75</v>
      </c>
      <c r="Y172" s="46">
        <f t="shared" si="94"/>
        <v>1.6093745139496063</v>
      </c>
      <c r="Z172" s="35">
        <v>9.75</v>
      </c>
      <c r="AA172" s="35">
        <v>6.75</v>
      </c>
      <c r="AB172" s="72">
        <v>8.75</v>
      </c>
      <c r="AC172" s="46">
        <v>10.75</v>
      </c>
      <c r="AD172" s="35">
        <v>20.5</v>
      </c>
      <c r="AE172" s="35">
        <v>10</v>
      </c>
      <c r="AF172" s="72">
        <v>18.25</v>
      </c>
      <c r="AG172" s="46">
        <f t="shared" si="95"/>
        <v>2.1650752314814814</v>
      </c>
      <c r="AH172" s="39" t="s">
        <v>1920</v>
      </c>
      <c r="AI172" s="39" t="s">
        <v>393</v>
      </c>
      <c r="AJ172" s="39" t="s">
        <v>1926</v>
      </c>
      <c r="AK172" s="39" t="s">
        <v>427</v>
      </c>
      <c r="AL172" s="20" t="s">
        <v>1928</v>
      </c>
      <c r="AM172" s="20"/>
      <c r="AN172" s="20"/>
      <c r="AO172" s="20"/>
      <c r="AP172" s="39" t="s">
        <v>1927</v>
      </c>
      <c r="AQ172" s="20" t="s">
        <v>1839</v>
      </c>
      <c r="AR172" s="97" t="s">
        <v>1838</v>
      </c>
    </row>
    <row r="173" spans="1:44" s="16" customFormat="1" ht="13.8" x14ac:dyDescent="0.3">
      <c r="A173" s="16" t="s">
        <v>121</v>
      </c>
      <c r="B173" s="143"/>
      <c r="C173" s="35" t="s">
        <v>394</v>
      </c>
      <c r="D173" s="35" t="s">
        <v>95</v>
      </c>
      <c r="E173" s="18" t="s">
        <v>1400</v>
      </c>
      <c r="F173" s="17" t="s">
        <v>111</v>
      </c>
      <c r="G173" s="17" t="s">
        <v>1518</v>
      </c>
      <c r="H173" s="38" t="s">
        <v>403</v>
      </c>
      <c r="I173" s="447" t="s">
        <v>403</v>
      </c>
      <c r="J173" s="447" t="s">
        <v>403</v>
      </c>
      <c r="K173" s="447" t="s">
        <v>66</v>
      </c>
      <c r="L173" s="29" t="s">
        <v>148</v>
      </c>
      <c r="M173" s="29" t="s">
        <v>327</v>
      </c>
      <c r="N173" s="6">
        <v>9.99</v>
      </c>
      <c r="O173" s="37">
        <v>12</v>
      </c>
      <c r="P173" s="228">
        <v>72</v>
      </c>
      <c r="Q173" s="35">
        <f t="shared" si="92"/>
        <v>8.8184904873951031E-2</v>
      </c>
      <c r="R173" s="35">
        <v>2.75</v>
      </c>
      <c r="S173" s="35">
        <v>2.8125</v>
      </c>
      <c r="T173" s="72">
        <v>4.25</v>
      </c>
      <c r="U173" s="46">
        <f t="shared" si="93"/>
        <v>0.11023113109243879</v>
      </c>
      <c r="V173" s="35">
        <v>3.75</v>
      </c>
      <c r="W173" s="35">
        <v>3.5</v>
      </c>
      <c r="X173" s="72">
        <v>5.75</v>
      </c>
      <c r="Y173" s="46">
        <f t="shared" si="94"/>
        <v>1.6093745139496063</v>
      </c>
      <c r="Z173" s="35">
        <v>9.75</v>
      </c>
      <c r="AA173" s="35">
        <v>6.75</v>
      </c>
      <c r="AB173" s="72">
        <v>8.75</v>
      </c>
      <c r="AC173" s="46">
        <v>10.75</v>
      </c>
      <c r="AD173" s="35">
        <v>20.5</v>
      </c>
      <c r="AE173" s="35">
        <v>10</v>
      </c>
      <c r="AF173" s="72">
        <v>18.25</v>
      </c>
      <c r="AG173" s="46">
        <f t="shared" si="95"/>
        <v>2.1650752314814814</v>
      </c>
      <c r="AH173" s="39" t="s">
        <v>1920</v>
      </c>
      <c r="AI173" s="39" t="s">
        <v>393</v>
      </c>
      <c r="AJ173" s="39" t="s">
        <v>1926</v>
      </c>
      <c r="AK173" s="39" t="s">
        <v>427</v>
      </c>
      <c r="AL173" s="20" t="s">
        <v>1928</v>
      </c>
      <c r="AM173" s="20"/>
      <c r="AN173" s="20"/>
      <c r="AO173" s="20"/>
      <c r="AP173" s="39" t="s">
        <v>1927</v>
      </c>
      <c r="AQ173" s="20" t="s">
        <v>1839</v>
      </c>
      <c r="AR173" s="97" t="s">
        <v>1838</v>
      </c>
    </row>
    <row r="174" spans="1:44" s="16" customFormat="1" ht="13.8" x14ac:dyDescent="0.3">
      <c r="A174" s="16" t="s">
        <v>121</v>
      </c>
      <c r="B174" s="143"/>
      <c r="C174" s="35" t="s">
        <v>394</v>
      </c>
      <c r="D174" s="35" t="s">
        <v>784</v>
      </c>
      <c r="E174" s="18" t="s">
        <v>1400</v>
      </c>
      <c r="F174" s="17" t="s">
        <v>882</v>
      </c>
      <c r="G174" s="17" t="s">
        <v>1518</v>
      </c>
      <c r="H174" s="38" t="s">
        <v>800</v>
      </c>
      <c r="I174" s="447" t="s">
        <v>800</v>
      </c>
      <c r="J174" s="447" t="s">
        <v>800</v>
      </c>
      <c r="K174" s="447" t="s">
        <v>66</v>
      </c>
      <c r="L174" s="29" t="s">
        <v>148</v>
      </c>
      <c r="M174" s="29" t="s">
        <v>327</v>
      </c>
      <c r="N174" s="6">
        <v>9.99</v>
      </c>
      <c r="O174" s="37">
        <v>12</v>
      </c>
      <c r="P174" s="228">
        <v>72</v>
      </c>
      <c r="Q174" s="35">
        <f t="shared" si="92"/>
        <v>8.8184904873951031E-2</v>
      </c>
      <c r="R174" s="35">
        <v>2.75</v>
      </c>
      <c r="S174" s="35">
        <v>2.8125</v>
      </c>
      <c r="T174" s="72">
        <v>4.25</v>
      </c>
      <c r="U174" s="46">
        <f t="shared" si="93"/>
        <v>0.11023113109243879</v>
      </c>
      <c r="V174" s="35">
        <v>3.75</v>
      </c>
      <c r="W174" s="35">
        <v>3.5</v>
      </c>
      <c r="X174" s="72">
        <v>5.75</v>
      </c>
      <c r="Y174" s="46">
        <f t="shared" si="94"/>
        <v>1.6093745139496063</v>
      </c>
      <c r="Z174" s="35">
        <v>9.75</v>
      </c>
      <c r="AA174" s="35">
        <v>6.75</v>
      </c>
      <c r="AB174" s="72">
        <v>8.75</v>
      </c>
      <c r="AC174" s="46">
        <v>10.75</v>
      </c>
      <c r="AD174" s="35">
        <v>20.5</v>
      </c>
      <c r="AE174" s="35">
        <v>10</v>
      </c>
      <c r="AF174" s="72">
        <v>18.25</v>
      </c>
      <c r="AG174" s="46">
        <f t="shared" si="95"/>
        <v>2.1650752314814814</v>
      </c>
      <c r="AH174" s="39" t="s">
        <v>1920</v>
      </c>
      <c r="AI174" s="39" t="s">
        <v>393</v>
      </c>
      <c r="AJ174" s="39" t="s">
        <v>1926</v>
      </c>
      <c r="AK174" s="39" t="s">
        <v>427</v>
      </c>
      <c r="AL174" s="20" t="s">
        <v>1928</v>
      </c>
      <c r="AM174" s="20"/>
      <c r="AN174" s="20"/>
      <c r="AO174" s="20"/>
      <c r="AP174" s="39" t="s">
        <v>1927</v>
      </c>
      <c r="AQ174" s="20" t="s">
        <v>1839</v>
      </c>
      <c r="AR174" s="97" t="s">
        <v>1838</v>
      </c>
    </row>
    <row r="175" spans="1:44" s="16" customFormat="1" ht="13.8" x14ac:dyDescent="0.3">
      <c r="A175" s="16" t="s">
        <v>121</v>
      </c>
      <c r="B175" s="143"/>
      <c r="C175" s="35" t="s">
        <v>394</v>
      </c>
      <c r="D175" s="35" t="s">
        <v>785</v>
      </c>
      <c r="E175" s="18" t="s">
        <v>1400</v>
      </c>
      <c r="F175" s="17" t="s">
        <v>881</v>
      </c>
      <c r="G175" s="17" t="s">
        <v>1518</v>
      </c>
      <c r="H175" s="38" t="s">
        <v>799</v>
      </c>
      <c r="I175" s="447" t="s">
        <v>799</v>
      </c>
      <c r="J175" s="447" t="s">
        <v>799</v>
      </c>
      <c r="K175" s="447" t="s">
        <v>66</v>
      </c>
      <c r="L175" s="29" t="s">
        <v>148</v>
      </c>
      <c r="M175" s="29" t="s">
        <v>327</v>
      </c>
      <c r="N175" s="6">
        <v>9.99</v>
      </c>
      <c r="O175" s="37">
        <v>12</v>
      </c>
      <c r="P175" s="228">
        <v>72</v>
      </c>
      <c r="Q175" s="35">
        <f t="shared" si="92"/>
        <v>8.8184904873951031E-2</v>
      </c>
      <c r="R175" s="35">
        <v>2.75</v>
      </c>
      <c r="S175" s="35">
        <v>2.8125</v>
      </c>
      <c r="T175" s="72">
        <v>4.25</v>
      </c>
      <c r="U175" s="46">
        <f t="shared" si="93"/>
        <v>0.11023113109243879</v>
      </c>
      <c r="V175" s="35">
        <v>3.75</v>
      </c>
      <c r="W175" s="35">
        <v>3.5</v>
      </c>
      <c r="X175" s="72">
        <v>5.75</v>
      </c>
      <c r="Y175" s="46">
        <f t="shared" si="94"/>
        <v>1.6093745139496063</v>
      </c>
      <c r="Z175" s="35">
        <v>9.75</v>
      </c>
      <c r="AA175" s="35">
        <v>6.75</v>
      </c>
      <c r="AB175" s="72">
        <v>8.75</v>
      </c>
      <c r="AC175" s="46">
        <v>10.75</v>
      </c>
      <c r="AD175" s="35">
        <v>20.5</v>
      </c>
      <c r="AE175" s="35">
        <v>10</v>
      </c>
      <c r="AF175" s="72">
        <v>18.25</v>
      </c>
      <c r="AG175" s="46">
        <f t="shared" si="95"/>
        <v>2.1650752314814814</v>
      </c>
      <c r="AH175" s="39" t="s">
        <v>1920</v>
      </c>
      <c r="AI175" s="39" t="s">
        <v>393</v>
      </c>
      <c r="AJ175" s="39" t="s">
        <v>1926</v>
      </c>
      <c r="AK175" s="39" t="s">
        <v>427</v>
      </c>
      <c r="AL175" s="20" t="s">
        <v>1928</v>
      </c>
      <c r="AM175" s="20"/>
      <c r="AN175" s="20"/>
      <c r="AO175" s="20"/>
      <c r="AP175" s="39" t="s">
        <v>1927</v>
      </c>
      <c r="AQ175" s="20" t="s">
        <v>1839</v>
      </c>
      <c r="AR175" s="97" t="s">
        <v>1838</v>
      </c>
    </row>
    <row r="176" spans="1:44" s="16" customFormat="1" ht="13.8" x14ac:dyDescent="0.3">
      <c r="A176" s="16" t="s">
        <v>121</v>
      </c>
      <c r="B176" s="143"/>
      <c r="C176" s="35" t="s">
        <v>394</v>
      </c>
      <c r="D176" s="35" t="s">
        <v>786</v>
      </c>
      <c r="E176" s="18" t="s">
        <v>1400</v>
      </c>
      <c r="F176" s="35" t="s">
        <v>1712</v>
      </c>
      <c r="G176" s="17" t="s">
        <v>1518</v>
      </c>
      <c r="H176" s="38" t="s">
        <v>801</v>
      </c>
      <c r="I176" s="447" t="s">
        <v>66</v>
      </c>
      <c r="J176" s="447" t="s">
        <v>1827</v>
      </c>
      <c r="K176" s="38" t="s">
        <v>1774</v>
      </c>
      <c r="L176" s="29" t="s">
        <v>148</v>
      </c>
      <c r="M176" s="29" t="s">
        <v>327</v>
      </c>
      <c r="N176" s="6">
        <v>9.99</v>
      </c>
      <c r="O176" s="37">
        <v>6</v>
      </c>
      <c r="P176" s="228">
        <v>36</v>
      </c>
      <c r="Q176" s="35">
        <f t="shared" si="92"/>
        <v>8.8184904873951031E-2</v>
      </c>
      <c r="R176" s="35">
        <v>2.75</v>
      </c>
      <c r="S176" s="35">
        <v>2.8125</v>
      </c>
      <c r="T176" s="72">
        <v>4.25</v>
      </c>
      <c r="U176" s="46">
        <f t="shared" si="93"/>
        <v>0.11023113109243879</v>
      </c>
      <c r="V176" s="35">
        <v>3.75</v>
      </c>
      <c r="W176" s="35">
        <v>3.5</v>
      </c>
      <c r="X176" s="72">
        <v>5.75</v>
      </c>
      <c r="Y176" s="46">
        <v>0.75</v>
      </c>
      <c r="Z176" s="35">
        <v>8.75</v>
      </c>
      <c r="AA176" s="35">
        <v>5.75</v>
      </c>
      <c r="AB176" s="72">
        <v>5.25</v>
      </c>
      <c r="AC176" s="46">
        <v>5.25</v>
      </c>
      <c r="AD176" s="35">
        <v>17.75</v>
      </c>
      <c r="AE176" s="35">
        <v>9</v>
      </c>
      <c r="AF176" s="72">
        <v>9.75</v>
      </c>
      <c r="AG176" s="46">
        <f t="shared" si="95"/>
        <v>0.9013671875</v>
      </c>
      <c r="AH176" s="39" t="s">
        <v>1920</v>
      </c>
      <c r="AI176" s="39" t="s">
        <v>393</v>
      </c>
      <c r="AJ176" s="39" t="s">
        <v>1926</v>
      </c>
      <c r="AK176" s="39" t="s">
        <v>427</v>
      </c>
      <c r="AL176" s="20" t="s">
        <v>1928</v>
      </c>
      <c r="AM176" s="20"/>
      <c r="AN176" s="20"/>
      <c r="AO176" s="20"/>
      <c r="AP176" s="39" t="s">
        <v>1927</v>
      </c>
      <c r="AQ176" s="20" t="s">
        <v>1839</v>
      </c>
      <c r="AR176" s="97" t="s">
        <v>1838</v>
      </c>
    </row>
    <row r="177" spans="1:44" s="16" customFormat="1" ht="13.8" x14ac:dyDescent="0.3">
      <c r="A177" s="16" t="s">
        <v>121</v>
      </c>
      <c r="B177" s="143"/>
      <c r="C177" s="35" t="s">
        <v>395</v>
      </c>
      <c r="D177" s="35" t="s">
        <v>786</v>
      </c>
      <c r="E177" s="18" t="s">
        <v>1401</v>
      </c>
      <c r="F177" s="35" t="s">
        <v>1700</v>
      </c>
      <c r="G177" s="17" t="s">
        <v>1518</v>
      </c>
      <c r="H177" s="38" t="s">
        <v>1773</v>
      </c>
      <c r="I177" s="447" t="s">
        <v>1773</v>
      </c>
      <c r="J177" s="447" t="s">
        <v>1773</v>
      </c>
      <c r="K177" s="447" t="s">
        <v>66</v>
      </c>
      <c r="L177" s="29" t="s">
        <v>148</v>
      </c>
      <c r="M177" s="29" t="s">
        <v>327</v>
      </c>
      <c r="N177" s="6">
        <v>29.99</v>
      </c>
      <c r="O177" s="37">
        <v>1</v>
      </c>
      <c r="P177" s="228">
        <v>12</v>
      </c>
      <c r="Q177" s="35">
        <f>CONVERT(160,"g","lbm")</f>
        <v>0.35273961949580412</v>
      </c>
      <c r="R177" s="35">
        <v>2.75</v>
      </c>
      <c r="S177" s="35">
        <v>2.8125</v>
      </c>
      <c r="T177" s="72">
        <v>9.125</v>
      </c>
      <c r="U177" s="46">
        <f>CONVERT(195,"g","lbm")</f>
        <v>0.42990141126051129</v>
      </c>
      <c r="V177" s="35">
        <v>2.75</v>
      </c>
      <c r="W177" s="35">
        <v>3.5</v>
      </c>
      <c r="X177" s="72">
        <v>10.25</v>
      </c>
      <c r="Y177" s="46" t="s">
        <v>66</v>
      </c>
      <c r="Z177" s="35" t="s">
        <v>66</v>
      </c>
      <c r="AA177" s="35" t="s">
        <v>66</v>
      </c>
      <c r="AB177" s="72" t="s">
        <v>66</v>
      </c>
      <c r="AC177" s="46">
        <v>6.3</v>
      </c>
      <c r="AD177" s="35">
        <v>14</v>
      </c>
      <c r="AE177" s="35">
        <v>19.5</v>
      </c>
      <c r="AF177" s="72">
        <v>8</v>
      </c>
      <c r="AG177" s="46">
        <f t="shared" si="95"/>
        <v>1.2638888888888888</v>
      </c>
      <c r="AH177" s="20" t="s">
        <v>1929</v>
      </c>
      <c r="AI177" s="39" t="s">
        <v>1920</v>
      </c>
      <c r="AJ177" s="39" t="s">
        <v>393</v>
      </c>
      <c r="AK177" s="39" t="s">
        <v>1926</v>
      </c>
      <c r="AL177" s="39" t="s">
        <v>427</v>
      </c>
      <c r="AM177" s="20" t="s">
        <v>1928</v>
      </c>
      <c r="AN177" s="20"/>
      <c r="AO177" s="20"/>
      <c r="AP177" s="39" t="s">
        <v>1927</v>
      </c>
      <c r="AQ177" s="20" t="s">
        <v>1839</v>
      </c>
      <c r="AR177" s="97" t="s">
        <v>1838</v>
      </c>
    </row>
    <row r="178" spans="1:44" s="20" customFormat="1" x14ac:dyDescent="0.25">
      <c r="B178" s="141"/>
      <c r="C178" s="35"/>
      <c r="D178" s="35" t="s">
        <v>128</v>
      </c>
      <c r="E178" s="36"/>
      <c r="F178" s="35"/>
      <c r="G178" s="35"/>
      <c r="H178" s="38"/>
      <c r="I178" s="38"/>
      <c r="J178" s="38"/>
      <c r="K178" s="38"/>
      <c r="L178" s="38"/>
      <c r="M178" s="38"/>
      <c r="N178" s="7"/>
      <c r="O178" s="37"/>
      <c r="P178" s="228"/>
      <c r="Q178" s="35"/>
      <c r="R178" s="35"/>
      <c r="S178" s="35"/>
      <c r="T178" s="72"/>
      <c r="U178" s="46"/>
      <c r="V178" s="35"/>
      <c r="W178" s="35"/>
      <c r="X178" s="72"/>
      <c r="Y178" s="46"/>
      <c r="Z178" s="35"/>
      <c r="AA178" s="35"/>
      <c r="AB178" s="72"/>
      <c r="AC178" s="46"/>
      <c r="AD178" s="35"/>
      <c r="AE178" s="35"/>
      <c r="AF178" s="72"/>
      <c r="AG178" s="46"/>
      <c r="AH178" s="39"/>
      <c r="AI178" s="39"/>
      <c r="AJ178" s="39"/>
      <c r="AK178" s="39"/>
      <c r="AP178" s="39"/>
      <c r="AQ178" s="65"/>
    </row>
    <row r="179" spans="1:44" s="108" customFormat="1" ht="15.6" x14ac:dyDescent="0.3">
      <c r="A179" s="108" t="s">
        <v>368</v>
      </c>
      <c r="B179" s="370"/>
      <c r="C179" s="196"/>
      <c r="D179" s="17" t="s">
        <v>128</v>
      </c>
      <c r="E179" s="194"/>
      <c r="F179" s="196"/>
      <c r="G179" s="196"/>
      <c r="H179" s="201"/>
      <c r="I179" s="201"/>
      <c r="J179" s="201"/>
      <c r="K179" s="201"/>
      <c r="L179" s="203"/>
      <c r="M179" s="203"/>
      <c r="N179" s="205"/>
      <c r="O179" s="206"/>
      <c r="P179" s="276"/>
      <c r="Q179" s="196"/>
      <c r="R179" s="196"/>
      <c r="S179" s="196"/>
      <c r="T179" s="197"/>
      <c r="U179" s="195"/>
      <c r="V179" s="196"/>
      <c r="W179" s="196"/>
      <c r="X179" s="197"/>
      <c r="Y179" s="195"/>
      <c r="Z179" s="196"/>
      <c r="AA179" s="196"/>
      <c r="AB179" s="197"/>
      <c r="AC179" s="195"/>
      <c r="AD179" s="196"/>
      <c r="AE179" s="196"/>
      <c r="AF179" s="197"/>
      <c r="AG179" s="195"/>
      <c r="AH179" s="198"/>
      <c r="AI179" s="198"/>
      <c r="AJ179" s="198"/>
      <c r="AK179" s="198"/>
      <c r="AL179" s="198"/>
      <c r="AM179" s="198"/>
      <c r="AN179" s="198"/>
      <c r="AO179" s="198"/>
      <c r="AP179" s="198"/>
      <c r="AQ179" s="458"/>
    </row>
    <row r="180" spans="1:44" s="16" customFormat="1" ht="13.8" x14ac:dyDescent="0.3">
      <c r="A180" s="16" t="s">
        <v>121</v>
      </c>
      <c r="B180" s="143"/>
      <c r="C180" s="35" t="s">
        <v>367</v>
      </c>
      <c r="D180" s="17" t="s">
        <v>95</v>
      </c>
      <c r="E180" s="21" t="s">
        <v>1389</v>
      </c>
      <c r="F180" s="17" t="s">
        <v>111</v>
      </c>
      <c r="G180" s="17" t="s">
        <v>1518</v>
      </c>
      <c r="H180" s="80">
        <v>7331423006847</v>
      </c>
      <c r="I180" s="80" t="s">
        <v>66</v>
      </c>
      <c r="J180" s="80">
        <v>7331423200764</v>
      </c>
      <c r="K180" s="80">
        <v>17331423200761</v>
      </c>
      <c r="L180" s="29" t="s">
        <v>148</v>
      </c>
      <c r="M180" s="29" t="s">
        <v>327</v>
      </c>
      <c r="N180" s="6">
        <v>29.99</v>
      </c>
      <c r="O180" s="37">
        <v>1</v>
      </c>
      <c r="P180" s="228">
        <v>12</v>
      </c>
      <c r="Q180" s="35">
        <f t="shared" ref="Q180:Q187" si="96">CONVERT(384,"g","lbm")</f>
        <v>0.84657508678992988</v>
      </c>
      <c r="R180" s="35">
        <v>7.6</v>
      </c>
      <c r="S180" s="35">
        <v>7.6</v>
      </c>
      <c r="T180" s="72">
        <v>2.4</v>
      </c>
      <c r="U180" s="46">
        <v>0.91</v>
      </c>
      <c r="V180" s="35">
        <v>7.875</v>
      </c>
      <c r="W180" s="35">
        <v>2.5</v>
      </c>
      <c r="X180" s="72">
        <v>8.5</v>
      </c>
      <c r="Y180" s="46" t="s">
        <v>66</v>
      </c>
      <c r="Z180" s="35" t="s">
        <v>66</v>
      </c>
      <c r="AA180" s="35" t="s">
        <v>66</v>
      </c>
      <c r="AB180" s="72" t="s">
        <v>66</v>
      </c>
      <c r="AC180" s="46">
        <v>12.1</v>
      </c>
      <c r="AD180" s="35">
        <v>23.625</v>
      </c>
      <c r="AE180" s="35">
        <v>15.25</v>
      </c>
      <c r="AF180" s="72">
        <v>6.25</v>
      </c>
      <c r="AG180" s="44">
        <f t="shared" ref="AG180:AG187" si="97">AD180*AE180*AF180/(12^3)</f>
        <v>1.3031005859375</v>
      </c>
      <c r="AH180" s="39" t="s">
        <v>1691</v>
      </c>
      <c r="AI180" s="39" t="s">
        <v>1690</v>
      </c>
      <c r="AJ180" s="39" t="s">
        <v>1688</v>
      </c>
      <c r="AK180" s="20" t="s">
        <v>427</v>
      </c>
      <c r="AL180" s="20" t="s">
        <v>1930</v>
      </c>
      <c r="AM180" s="20"/>
      <c r="AN180" s="20"/>
      <c r="AO180" s="20"/>
      <c r="AP180" s="39" t="s">
        <v>1692</v>
      </c>
      <c r="AQ180" s="20" t="s">
        <v>1839</v>
      </c>
      <c r="AR180" s="97" t="s">
        <v>1838</v>
      </c>
    </row>
    <row r="181" spans="1:44" s="16" customFormat="1" ht="13.8" x14ac:dyDescent="0.3">
      <c r="A181" s="16" t="s">
        <v>121</v>
      </c>
      <c r="B181" s="143"/>
      <c r="C181" s="35" t="s">
        <v>367</v>
      </c>
      <c r="D181" s="17" t="s">
        <v>348</v>
      </c>
      <c r="E181" s="21" t="s">
        <v>1389</v>
      </c>
      <c r="F181" s="17" t="s">
        <v>349</v>
      </c>
      <c r="G181" s="17" t="s">
        <v>1518</v>
      </c>
      <c r="H181" s="80">
        <v>7331423006854</v>
      </c>
      <c r="I181" s="80" t="s">
        <v>66</v>
      </c>
      <c r="J181" s="80">
        <v>7331423200771</v>
      </c>
      <c r="K181" s="80">
        <v>17331423200778</v>
      </c>
      <c r="L181" s="29" t="s">
        <v>148</v>
      </c>
      <c r="M181" s="29" t="s">
        <v>327</v>
      </c>
      <c r="N181" s="6">
        <v>29.99</v>
      </c>
      <c r="O181" s="37">
        <v>1</v>
      </c>
      <c r="P181" s="228">
        <v>12</v>
      </c>
      <c r="Q181" s="35">
        <f t="shared" si="96"/>
        <v>0.84657508678992988</v>
      </c>
      <c r="R181" s="35">
        <v>7.6</v>
      </c>
      <c r="S181" s="35">
        <v>7.6</v>
      </c>
      <c r="T181" s="72">
        <v>2.4</v>
      </c>
      <c r="U181" s="46">
        <v>0.91</v>
      </c>
      <c r="V181" s="35">
        <v>7.875</v>
      </c>
      <c r="W181" s="35">
        <v>2.5</v>
      </c>
      <c r="X181" s="72">
        <v>8.5</v>
      </c>
      <c r="Y181" s="46" t="s">
        <v>66</v>
      </c>
      <c r="Z181" s="35" t="s">
        <v>66</v>
      </c>
      <c r="AA181" s="35" t="s">
        <v>66</v>
      </c>
      <c r="AB181" s="72" t="s">
        <v>66</v>
      </c>
      <c r="AC181" s="46">
        <v>12.1</v>
      </c>
      <c r="AD181" s="35">
        <v>23.625</v>
      </c>
      <c r="AE181" s="35">
        <v>15.25</v>
      </c>
      <c r="AF181" s="72">
        <v>6.25</v>
      </c>
      <c r="AG181" s="44">
        <f t="shared" si="97"/>
        <v>1.3031005859375</v>
      </c>
      <c r="AH181" s="39" t="s">
        <v>1691</v>
      </c>
      <c r="AI181" s="39" t="s">
        <v>1690</v>
      </c>
      <c r="AJ181" s="39" t="s">
        <v>1688</v>
      </c>
      <c r="AK181" s="20" t="s">
        <v>427</v>
      </c>
      <c r="AL181" s="20" t="s">
        <v>1930</v>
      </c>
      <c r="AM181" s="20"/>
      <c r="AN181" s="20"/>
      <c r="AO181" s="20"/>
      <c r="AP181" s="39" t="s">
        <v>1692</v>
      </c>
      <c r="AQ181" s="20" t="s">
        <v>1839</v>
      </c>
      <c r="AR181" s="97" t="s">
        <v>1838</v>
      </c>
    </row>
    <row r="182" spans="1:44" s="16" customFormat="1" ht="13.8" x14ac:dyDescent="0.3">
      <c r="A182" s="16" t="s">
        <v>121</v>
      </c>
      <c r="B182" s="143"/>
      <c r="C182" s="35" t="s">
        <v>367</v>
      </c>
      <c r="D182" s="17" t="s">
        <v>89</v>
      </c>
      <c r="E182" s="21" t="s">
        <v>1389</v>
      </c>
      <c r="F182" s="17" t="s">
        <v>50</v>
      </c>
      <c r="G182" s="17" t="s">
        <v>1518</v>
      </c>
      <c r="H182" s="80">
        <v>7331423006878</v>
      </c>
      <c r="I182" s="80" t="s">
        <v>66</v>
      </c>
      <c r="J182" s="80">
        <v>7331423200795</v>
      </c>
      <c r="K182" s="80">
        <v>17331423200792</v>
      </c>
      <c r="L182" s="29" t="s">
        <v>148</v>
      </c>
      <c r="M182" s="29" t="s">
        <v>327</v>
      </c>
      <c r="N182" s="6">
        <v>29.99</v>
      </c>
      <c r="O182" s="37">
        <v>1</v>
      </c>
      <c r="P182" s="228">
        <v>12</v>
      </c>
      <c r="Q182" s="35">
        <f t="shared" si="96"/>
        <v>0.84657508678992988</v>
      </c>
      <c r="R182" s="35">
        <v>7.6</v>
      </c>
      <c r="S182" s="35">
        <v>7.6</v>
      </c>
      <c r="T182" s="72">
        <v>2.4</v>
      </c>
      <c r="U182" s="46">
        <v>0.91</v>
      </c>
      <c r="V182" s="35">
        <v>7.875</v>
      </c>
      <c r="W182" s="35">
        <v>2.5</v>
      </c>
      <c r="X182" s="72">
        <v>8.5</v>
      </c>
      <c r="Y182" s="46" t="s">
        <v>66</v>
      </c>
      <c r="Z182" s="35" t="s">
        <v>66</v>
      </c>
      <c r="AA182" s="35" t="s">
        <v>66</v>
      </c>
      <c r="AB182" s="72" t="s">
        <v>66</v>
      </c>
      <c r="AC182" s="46">
        <v>12.1</v>
      </c>
      <c r="AD182" s="35">
        <v>23.625</v>
      </c>
      <c r="AE182" s="35">
        <v>15.25</v>
      </c>
      <c r="AF182" s="72">
        <v>6.25</v>
      </c>
      <c r="AG182" s="44">
        <f t="shared" si="97"/>
        <v>1.3031005859375</v>
      </c>
      <c r="AH182" s="39" t="s">
        <v>1691</v>
      </c>
      <c r="AI182" s="39" t="s">
        <v>1690</v>
      </c>
      <c r="AJ182" s="39" t="s">
        <v>1688</v>
      </c>
      <c r="AK182" s="20" t="s">
        <v>427</v>
      </c>
      <c r="AL182" s="20" t="s">
        <v>1930</v>
      </c>
      <c r="AM182" s="20"/>
      <c r="AN182" s="20"/>
      <c r="AO182" s="20"/>
      <c r="AP182" s="39" t="s">
        <v>1692</v>
      </c>
      <c r="AQ182" s="20" t="s">
        <v>1839</v>
      </c>
      <c r="AR182" s="97" t="s">
        <v>1838</v>
      </c>
    </row>
    <row r="183" spans="1:44" s="16" customFormat="1" ht="13.8" x14ac:dyDescent="0.3">
      <c r="A183" s="16" t="s">
        <v>121</v>
      </c>
      <c r="B183" s="143"/>
      <c r="C183" s="35" t="s">
        <v>367</v>
      </c>
      <c r="D183" s="17" t="s">
        <v>92</v>
      </c>
      <c r="E183" s="21" t="s">
        <v>1389</v>
      </c>
      <c r="F183" s="17" t="s">
        <v>51</v>
      </c>
      <c r="G183" s="17" t="s">
        <v>1518</v>
      </c>
      <c r="H183" s="80">
        <v>7331423006892</v>
      </c>
      <c r="I183" s="80" t="s">
        <v>66</v>
      </c>
      <c r="J183" s="80">
        <v>7331423200801</v>
      </c>
      <c r="K183" s="80">
        <v>17331423200808</v>
      </c>
      <c r="L183" s="29" t="s">
        <v>148</v>
      </c>
      <c r="M183" s="29" t="s">
        <v>327</v>
      </c>
      <c r="N183" s="6">
        <v>29.99</v>
      </c>
      <c r="O183" s="37">
        <v>1</v>
      </c>
      <c r="P183" s="228">
        <v>12</v>
      </c>
      <c r="Q183" s="35">
        <f t="shared" si="96"/>
        <v>0.84657508678992988</v>
      </c>
      <c r="R183" s="35">
        <v>7.6</v>
      </c>
      <c r="S183" s="35">
        <v>7.6</v>
      </c>
      <c r="T183" s="72">
        <v>2.4</v>
      </c>
      <c r="U183" s="46">
        <v>0.91</v>
      </c>
      <c r="V183" s="35">
        <v>7.875</v>
      </c>
      <c r="W183" s="35">
        <v>2.5</v>
      </c>
      <c r="X183" s="72">
        <v>8.5</v>
      </c>
      <c r="Y183" s="46" t="s">
        <v>66</v>
      </c>
      <c r="Z183" s="35" t="s">
        <v>66</v>
      </c>
      <c r="AA183" s="35" t="s">
        <v>66</v>
      </c>
      <c r="AB183" s="72" t="s">
        <v>66</v>
      </c>
      <c r="AC183" s="46">
        <v>12.1</v>
      </c>
      <c r="AD183" s="35">
        <v>23.625</v>
      </c>
      <c r="AE183" s="35">
        <v>15.25</v>
      </c>
      <c r="AF183" s="72">
        <v>6.25</v>
      </c>
      <c r="AG183" s="44">
        <f t="shared" si="97"/>
        <v>1.3031005859375</v>
      </c>
      <c r="AH183" s="39" t="s">
        <v>1691</v>
      </c>
      <c r="AI183" s="39" t="s">
        <v>1690</v>
      </c>
      <c r="AJ183" s="39" t="s">
        <v>1688</v>
      </c>
      <c r="AK183" s="20" t="s">
        <v>427</v>
      </c>
      <c r="AL183" s="20" t="s">
        <v>1930</v>
      </c>
      <c r="AM183" s="20"/>
      <c r="AN183" s="20"/>
      <c r="AO183" s="20"/>
      <c r="AP183" s="39" t="s">
        <v>1692</v>
      </c>
      <c r="AQ183" s="20" t="s">
        <v>1839</v>
      </c>
      <c r="AR183" s="97" t="s">
        <v>1838</v>
      </c>
    </row>
    <row r="184" spans="1:44" s="16" customFormat="1" ht="13.8" x14ac:dyDescent="0.3">
      <c r="A184" s="16" t="s">
        <v>121</v>
      </c>
      <c r="B184" s="143"/>
      <c r="C184" s="35" t="s">
        <v>367</v>
      </c>
      <c r="D184" s="17" t="s">
        <v>87</v>
      </c>
      <c r="E184" s="21" t="s">
        <v>1389</v>
      </c>
      <c r="F184" s="17" t="s">
        <v>54</v>
      </c>
      <c r="G184" s="17" t="s">
        <v>1518</v>
      </c>
      <c r="H184" s="80">
        <v>7331423006861</v>
      </c>
      <c r="I184" s="80" t="s">
        <v>66</v>
      </c>
      <c r="J184" s="80">
        <v>7331423200788</v>
      </c>
      <c r="K184" s="80">
        <v>17331423200785</v>
      </c>
      <c r="L184" s="29" t="s">
        <v>148</v>
      </c>
      <c r="M184" s="29" t="s">
        <v>327</v>
      </c>
      <c r="N184" s="6">
        <v>29.99</v>
      </c>
      <c r="O184" s="37">
        <v>1</v>
      </c>
      <c r="P184" s="228">
        <v>12</v>
      </c>
      <c r="Q184" s="35">
        <f t="shared" si="96"/>
        <v>0.84657508678992988</v>
      </c>
      <c r="R184" s="35">
        <v>7.6</v>
      </c>
      <c r="S184" s="35">
        <v>7.6</v>
      </c>
      <c r="T184" s="72">
        <v>2.4</v>
      </c>
      <c r="U184" s="46">
        <v>0.91</v>
      </c>
      <c r="V184" s="35">
        <v>7.875</v>
      </c>
      <c r="W184" s="35">
        <v>2.5</v>
      </c>
      <c r="X184" s="72">
        <v>8.5</v>
      </c>
      <c r="Y184" s="46" t="s">
        <v>66</v>
      </c>
      <c r="Z184" s="35" t="s">
        <v>66</v>
      </c>
      <c r="AA184" s="35" t="s">
        <v>66</v>
      </c>
      <c r="AB184" s="72" t="s">
        <v>66</v>
      </c>
      <c r="AC184" s="46">
        <v>12.1</v>
      </c>
      <c r="AD184" s="35">
        <v>23.625</v>
      </c>
      <c r="AE184" s="35">
        <v>15.25</v>
      </c>
      <c r="AF184" s="72">
        <v>6.25</v>
      </c>
      <c r="AG184" s="44">
        <f t="shared" si="97"/>
        <v>1.3031005859375</v>
      </c>
      <c r="AH184" s="39" t="s">
        <v>1691</v>
      </c>
      <c r="AI184" s="39" t="s">
        <v>1690</v>
      </c>
      <c r="AJ184" s="39" t="s">
        <v>1688</v>
      </c>
      <c r="AK184" s="20" t="s">
        <v>427</v>
      </c>
      <c r="AL184" s="20" t="s">
        <v>1930</v>
      </c>
      <c r="AM184" s="20"/>
      <c r="AN184" s="20"/>
      <c r="AO184" s="20"/>
      <c r="AP184" s="39" t="s">
        <v>1692</v>
      </c>
      <c r="AQ184" s="20" t="s">
        <v>1839</v>
      </c>
      <c r="AR184" s="97" t="s">
        <v>1838</v>
      </c>
    </row>
    <row r="185" spans="1:44" s="16" customFormat="1" ht="13.8" x14ac:dyDescent="0.3">
      <c r="A185" s="16" t="s">
        <v>121</v>
      </c>
      <c r="B185" s="143"/>
      <c r="C185" s="35" t="s">
        <v>367</v>
      </c>
      <c r="D185" s="17" t="s">
        <v>784</v>
      </c>
      <c r="E185" s="21" t="s">
        <v>1389</v>
      </c>
      <c r="F185" s="17" t="s">
        <v>882</v>
      </c>
      <c r="G185" s="17" t="s">
        <v>1518</v>
      </c>
      <c r="H185" s="80">
        <v>7331423008063</v>
      </c>
      <c r="I185" s="80" t="s">
        <v>66</v>
      </c>
      <c r="J185" s="80">
        <v>7331423200757</v>
      </c>
      <c r="K185" s="80">
        <v>17331423200754</v>
      </c>
      <c r="L185" s="29" t="s">
        <v>148</v>
      </c>
      <c r="M185" s="29" t="s">
        <v>327</v>
      </c>
      <c r="N185" s="6">
        <v>29.99</v>
      </c>
      <c r="O185" s="37">
        <v>1</v>
      </c>
      <c r="P185" s="228">
        <v>12</v>
      </c>
      <c r="Q185" s="35">
        <f t="shared" si="96"/>
        <v>0.84657508678992988</v>
      </c>
      <c r="R185" s="35">
        <v>7.6</v>
      </c>
      <c r="S185" s="35">
        <v>7.6</v>
      </c>
      <c r="T185" s="72">
        <v>2.4</v>
      </c>
      <c r="U185" s="46">
        <v>0.91</v>
      </c>
      <c r="V185" s="35">
        <v>7.875</v>
      </c>
      <c r="W185" s="35">
        <v>2.5</v>
      </c>
      <c r="X185" s="72">
        <v>8.5</v>
      </c>
      <c r="Y185" s="46" t="s">
        <v>66</v>
      </c>
      <c r="Z185" s="35" t="s">
        <v>66</v>
      </c>
      <c r="AA185" s="35" t="s">
        <v>66</v>
      </c>
      <c r="AB185" s="72" t="s">
        <v>66</v>
      </c>
      <c r="AC185" s="46">
        <v>12.1</v>
      </c>
      <c r="AD185" s="35">
        <v>23.625</v>
      </c>
      <c r="AE185" s="35">
        <v>15.25</v>
      </c>
      <c r="AF185" s="72">
        <v>6.25</v>
      </c>
      <c r="AG185" s="44">
        <f t="shared" si="97"/>
        <v>1.3031005859375</v>
      </c>
      <c r="AH185" s="39" t="s">
        <v>1691</v>
      </c>
      <c r="AI185" s="39" t="s">
        <v>1690</v>
      </c>
      <c r="AJ185" s="39" t="s">
        <v>1688</v>
      </c>
      <c r="AK185" s="20" t="s">
        <v>427</v>
      </c>
      <c r="AL185" s="20" t="s">
        <v>1930</v>
      </c>
      <c r="AM185" s="20"/>
      <c r="AN185" s="20"/>
      <c r="AO185" s="20"/>
      <c r="AP185" s="39" t="s">
        <v>1692</v>
      </c>
      <c r="AQ185" s="20" t="s">
        <v>1839</v>
      </c>
      <c r="AR185" s="97" t="s">
        <v>1838</v>
      </c>
    </row>
    <row r="186" spans="1:44" s="16" customFormat="1" ht="13.8" x14ac:dyDescent="0.3">
      <c r="A186" s="16" t="s">
        <v>121</v>
      </c>
      <c r="B186" s="143"/>
      <c r="C186" s="35" t="s">
        <v>367</v>
      </c>
      <c r="D186" s="17" t="s">
        <v>785</v>
      </c>
      <c r="E186" s="21" t="s">
        <v>1389</v>
      </c>
      <c r="F186" s="17" t="s">
        <v>881</v>
      </c>
      <c r="G186" s="17" t="s">
        <v>1518</v>
      </c>
      <c r="H186" s="80">
        <v>7331423007370</v>
      </c>
      <c r="I186" s="80" t="s">
        <v>66</v>
      </c>
      <c r="J186" s="80">
        <v>7331423200740</v>
      </c>
      <c r="K186" s="80">
        <v>17331423200747</v>
      </c>
      <c r="L186" s="29" t="s">
        <v>148</v>
      </c>
      <c r="M186" s="29" t="s">
        <v>327</v>
      </c>
      <c r="N186" s="6">
        <v>29.99</v>
      </c>
      <c r="O186" s="37">
        <v>1</v>
      </c>
      <c r="P186" s="228">
        <v>12</v>
      </c>
      <c r="Q186" s="35">
        <f t="shared" si="96"/>
        <v>0.84657508678992988</v>
      </c>
      <c r="R186" s="35">
        <v>7.6</v>
      </c>
      <c r="S186" s="35">
        <v>7.6</v>
      </c>
      <c r="T186" s="72">
        <v>2.4</v>
      </c>
      <c r="U186" s="46">
        <v>0.91</v>
      </c>
      <c r="V186" s="35">
        <v>7.875</v>
      </c>
      <c r="W186" s="35">
        <v>2.5</v>
      </c>
      <c r="X186" s="72">
        <v>8.5</v>
      </c>
      <c r="Y186" s="46" t="s">
        <v>66</v>
      </c>
      <c r="Z186" s="35" t="s">
        <v>66</v>
      </c>
      <c r="AA186" s="35" t="s">
        <v>66</v>
      </c>
      <c r="AB186" s="72" t="s">
        <v>66</v>
      </c>
      <c r="AC186" s="46">
        <v>12.1</v>
      </c>
      <c r="AD186" s="35">
        <v>23.625</v>
      </c>
      <c r="AE186" s="35">
        <v>15.25</v>
      </c>
      <c r="AF186" s="72">
        <v>6.25</v>
      </c>
      <c r="AG186" s="44">
        <f t="shared" si="97"/>
        <v>1.3031005859375</v>
      </c>
      <c r="AH186" s="39" t="s">
        <v>1691</v>
      </c>
      <c r="AI186" s="39" t="s">
        <v>1690</v>
      </c>
      <c r="AJ186" s="39" t="s">
        <v>1688</v>
      </c>
      <c r="AK186" s="20" t="s">
        <v>427</v>
      </c>
      <c r="AL186" s="20" t="s">
        <v>1930</v>
      </c>
      <c r="AM186" s="20"/>
      <c r="AN186" s="20"/>
      <c r="AO186" s="20"/>
      <c r="AP186" s="39" t="s">
        <v>1692</v>
      </c>
      <c r="AQ186" s="20" t="s">
        <v>1839</v>
      </c>
      <c r="AR186" s="97" t="s">
        <v>1838</v>
      </c>
    </row>
    <row r="187" spans="1:44" s="16" customFormat="1" ht="13.8" x14ac:dyDescent="0.3">
      <c r="A187" s="16" t="s">
        <v>121</v>
      </c>
      <c r="B187" s="143"/>
      <c r="C187" s="35" t="s">
        <v>367</v>
      </c>
      <c r="D187" s="17" t="s">
        <v>786</v>
      </c>
      <c r="E187" s="21" t="s">
        <v>1389</v>
      </c>
      <c r="F187" s="35" t="s">
        <v>1712</v>
      </c>
      <c r="G187" s="17" t="s">
        <v>1518</v>
      </c>
      <c r="H187" s="80">
        <v>7331423008087</v>
      </c>
      <c r="I187" s="80" t="s">
        <v>66</v>
      </c>
      <c r="J187" s="80">
        <v>7331423008087</v>
      </c>
      <c r="K187" s="80">
        <v>17331423200839</v>
      </c>
      <c r="L187" s="29" t="s">
        <v>148</v>
      </c>
      <c r="M187" s="29" t="s">
        <v>327</v>
      </c>
      <c r="N187" s="6">
        <v>29.99</v>
      </c>
      <c r="O187" s="37">
        <v>1</v>
      </c>
      <c r="P187" s="228">
        <v>12</v>
      </c>
      <c r="Q187" s="35">
        <f t="shared" si="96"/>
        <v>0.84657508678992988</v>
      </c>
      <c r="R187" s="35">
        <v>7.6</v>
      </c>
      <c r="S187" s="35">
        <v>7.6</v>
      </c>
      <c r="T187" s="72">
        <v>2.4</v>
      </c>
      <c r="U187" s="46">
        <v>0.91</v>
      </c>
      <c r="V187" s="35">
        <v>7.875</v>
      </c>
      <c r="W187" s="35">
        <v>2.5</v>
      </c>
      <c r="X187" s="72">
        <v>8.5</v>
      </c>
      <c r="Y187" s="46" t="s">
        <v>66</v>
      </c>
      <c r="Z187" s="35" t="s">
        <v>66</v>
      </c>
      <c r="AA187" s="35" t="s">
        <v>66</v>
      </c>
      <c r="AB187" s="72" t="s">
        <v>66</v>
      </c>
      <c r="AC187" s="46">
        <v>12.1</v>
      </c>
      <c r="AD187" s="35">
        <v>23.625</v>
      </c>
      <c r="AE187" s="35">
        <v>15.25</v>
      </c>
      <c r="AF187" s="72">
        <v>6.25</v>
      </c>
      <c r="AG187" s="44">
        <f t="shared" si="97"/>
        <v>1.3031005859375</v>
      </c>
      <c r="AH187" s="39" t="s">
        <v>1691</v>
      </c>
      <c r="AI187" s="39" t="s">
        <v>1690</v>
      </c>
      <c r="AJ187" s="39" t="s">
        <v>1688</v>
      </c>
      <c r="AK187" s="20" t="s">
        <v>427</v>
      </c>
      <c r="AL187" s="20" t="s">
        <v>1930</v>
      </c>
      <c r="AM187" s="20"/>
      <c r="AN187" s="20"/>
      <c r="AO187" s="20"/>
      <c r="AP187" s="39" t="s">
        <v>1692</v>
      </c>
      <c r="AQ187" s="20" t="s">
        <v>1839</v>
      </c>
      <c r="AR187" s="97" t="s">
        <v>1838</v>
      </c>
    </row>
    <row r="188" spans="1:44" s="213" customFormat="1" x14ac:dyDescent="0.25">
      <c r="A188" s="213" t="s">
        <v>316</v>
      </c>
      <c r="B188" s="369"/>
      <c r="C188" s="192"/>
      <c r="D188" s="35" t="s">
        <v>128</v>
      </c>
      <c r="E188" s="190"/>
      <c r="F188" s="192"/>
      <c r="G188" s="192"/>
      <c r="H188" s="221"/>
      <c r="I188" s="221"/>
      <c r="J188" s="221"/>
      <c r="K188" s="221"/>
      <c r="L188" s="211"/>
      <c r="M188" s="211"/>
      <c r="N188" s="215"/>
      <c r="O188" s="216"/>
      <c r="P188" s="275"/>
      <c r="Q188" s="192"/>
      <c r="R188" s="192"/>
      <c r="S188" s="192"/>
      <c r="T188" s="193"/>
      <c r="U188" s="191"/>
      <c r="V188" s="192"/>
      <c r="W188" s="192"/>
      <c r="X188" s="193"/>
      <c r="Y188" s="191"/>
      <c r="Z188" s="192"/>
      <c r="AA188" s="192"/>
      <c r="AB188" s="193"/>
      <c r="AC188" s="191"/>
      <c r="AD188" s="192"/>
      <c r="AE188" s="192"/>
      <c r="AF188" s="193"/>
      <c r="AG188" s="191"/>
      <c r="AH188" s="202"/>
      <c r="AI188" s="202"/>
      <c r="AJ188" s="202"/>
      <c r="AK188" s="202"/>
      <c r="AL188" s="202"/>
      <c r="AM188" s="202"/>
      <c r="AN188" s="202"/>
      <c r="AO188" s="202"/>
      <c r="AP188" s="202"/>
      <c r="AQ188" s="224"/>
    </row>
    <row r="189" spans="1:44" s="16" customFormat="1" ht="13.8" x14ac:dyDescent="0.3">
      <c r="A189" s="16" t="s">
        <v>121</v>
      </c>
      <c r="B189" s="143"/>
      <c r="C189" s="35" t="s">
        <v>315</v>
      </c>
      <c r="D189" s="17" t="s">
        <v>72</v>
      </c>
      <c r="E189" s="21" t="s">
        <v>1390</v>
      </c>
      <c r="F189" s="17" t="s">
        <v>534</v>
      </c>
      <c r="G189" s="17" t="s">
        <v>1507</v>
      </c>
      <c r="H189" s="60">
        <v>7331423009237</v>
      </c>
      <c r="I189" s="68">
        <v>7331423100507</v>
      </c>
      <c r="J189" s="68">
        <v>7331423200733</v>
      </c>
      <c r="K189" s="68">
        <v>17331423200730</v>
      </c>
      <c r="L189" s="29" t="s">
        <v>1775</v>
      </c>
      <c r="M189" s="29" t="s">
        <v>327</v>
      </c>
      <c r="N189" s="6">
        <v>6.99</v>
      </c>
      <c r="O189" s="37">
        <v>10</v>
      </c>
      <c r="P189" s="228">
        <v>60</v>
      </c>
      <c r="Q189" s="35">
        <f>CONVERT(24,"g","lbm")</f>
        <v>5.2910942924370617E-2</v>
      </c>
      <c r="R189" s="35">
        <v>5.8</v>
      </c>
      <c r="S189" s="35">
        <v>0.6</v>
      </c>
      <c r="T189" s="72">
        <v>7.2</v>
      </c>
      <c r="U189" s="46">
        <v>0.06</v>
      </c>
      <c r="V189" s="35">
        <v>6</v>
      </c>
      <c r="W189" s="35">
        <v>1.5</v>
      </c>
      <c r="X189" s="72">
        <v>7.5</v>
      </c>
      <c r="Y189" s="46" t="s">
        <v>66</v>
      </c>
      <c r="Z189" s="35" t="s">
        <v>66</v>
      </c>
      <c r="AA189" s="35" t="s">
        <v>66</v>
      </c>
      <c r="AB189" s="72" t="s">
        <v>66</v>
      </c>
      <c r="AC189" s="46">
        <v>5.9</v>
      </c>
      <c r="AD189" s="35">
        <v>16</v>
      </c>
      <c r="AE189" s="35">
        <v>13.875</v>
      </c>
      <c r="AF189" s="72">
        <v>9</v>
      </c>
      <c r="AG189" s="44">
        <f>AD189*AE189*AF189/(12^3)</f>
        <v>1.15625</v>
      </c>
      <c r="AH189" s="39" t="s">
        <v>1932</v>
      </c>
      <c r="AI189" s="39" t="s">
        <v>1933</v>
      </c>
      <c r="AJ189" s="39" t="s">
        <v>681</v>
      </c>
      <c r="AK189" s="20" t="s">
        <v>1934</v>
      </c>
      <c r="AL189" s="20" t="s">
        <v>680</v>
      </c>
      <c r="AM189" s="20" t="s">
        <v>1935</v>
      </c>
      <c r="AN189" s="20"/>
      <c r="AO189" s="20"/>
      <c r="AP189" s="65" t="s">
        <v>1931</v>
      </c>
      <c r="AQ189" s="20" t="s">
        <v>1839</v>
      </c>
      <c r="AR189" s="97" t="s">
        <v>1838</v>
      </c>
    </row>
    <row r="190" spans="1:44" s="20" customFormat="1" x14ac:dyDescent="0.25">
      <c r="B190" s="141"/>
      <c r="C190" s="35"/>
      <c r="D190" s="35" t="s">
        <v>128</v>
      </c>
      <c r="E190" s="21"/>
      <c r="F190" s="35"/>
      <c r="G190" s="35"/>
      <c r="H190" s="68"/>
      <c r="I190" s="68"/>
      <c r="J190" s="68"/>
      <c r="K190" s="68"/>
      <c r="L190" s="38"/>
      <c r="M190" s="38"/>
      <c r="N190" s="7"/>
      <c r="O190" s="37"/>
      <c r="P190" s="228"/>
      <c r="Q190" s="35"/>
      <c r="R190" s="35"/>
      <c r="S190" s="35"/>
      <c r="T190" s="72"/>
      <c r="U190" s="46"/>
      <c r="V190" s="35"/>
      <c r="W190" s="35"/>
      <c r="X190" s="72"/>
      <c r="Y190" s="46"/>
      <c r="Z190" s="35"/>
      <c r="AA190" s="35"/>
      <c r="AB190" s="72"/>
      <c r="AC190" s="46"/>
      <c r="AD190" s="35"/>
      <c r="AE190" s="35"/>
      <c r="AF190" s="72"/>
      <c r="AG190" s="46"/>
      <c r="AH190" s="39"/>
      <c r="AI190" s="39"/>
      <c r="AJ190" s="39"/>
      <c r="AP190" s="39"/>
      <c r="AQ190" s="97"/>
    </row>
    <row r="191" spans="1:44" s="108" customFormat="1" ht="15.6" x14ac:dyDescent="0.3">
      <c r="A191" s="108" t="s">
        <v>650</v>
      </c>
      <c r="B191" s="370"/>
      <c r="C191" s="196"/>
      <c r="D191" s="35" t="s">
        <v>128</v>
      </c>
      <c r="E191" s="194"/>
      <c r="F191" s="196"/>
      <c r="G191" s="196"/>
      <c r="H191" s="201"/>
      <c r="I191" s="201"/>
      <c r="J191" s="201"/>
      <c r="K191" s="201"/>
      <c r="L191" s="203"/>
      <c r="M191" s="203"/>
      <c r="N191" s="205"/>
      <c r="O191" s="206"/>
      <c r="P191" s="276"/>
      <c r="Q191" s="196"/>
      <c r="R191" s="196"/>
      <c r="S191" s="196"/>
      <c r="T191" s="197"/>
      <c r="U191" s="195"/>
      <c r="V191" s="196"/>
      <c r="W191" s="196"/>
      <c r="X191" s="197"/>
      <c r="Y191" s="195"/>
      <c r="Z191" s="196"/>
      <c r="AA191" s="196"/>
      <c r="AB191" s="197"/>
      <c r="AC191" s="195"/>
      <c r="AD191" s="196"/>
      <c r="AE191" s="196"/>
      <c r="AF191" s="197"/>
      <c r="AG191" s="195"/>
      <c r="AH191" s="402"/>
      <c r="AI191" s="198"/>
      <c r="AJ191" s="198"/>
      <c r="AK191" s="198"/>
      <c r="AL191" s="198"/>
      <c r="AM191" s="198"/>
      <c r="AN191" s="198"/>
      <c r="AO191" s="198"/>
      <c r="AP191" s="198"/>
      <c r="AQ191" s="200"/>
    </row>
    <row r="192" spans="1:44" s="67" customFormat="1" ht="13.8" x14ac:dyDescent="0.3">
      <c r="A192" s="16" t="s">
        <v>121</v>
      </c>
      <c r="B192" s="143"/>
      <c r="C192" s="35" t="s">
        <v>366</v>
      </c>
      <c r="D192" s="17" t="s">
        <v>95</v>
      </c>
      <c r="E192" s="21" t="s">
        <v>1388</v>
      </c>
      <c r="F192" s="17" t="s">
        <v>111</v>
      </c>
      <c r="G192" s="17" t="s">
        <v>1518</v>
      </c>
      <c r="H192" s="79">
        <v>7331423006922</v>
      </c>
      <c r="I192" s="80" t="s">
        <v>66</v>
      </c>
      <c r="J192" s="80">
        <v>7331423201280</v>
      </c>
      <c r="K192" s="80">
        <v>17331423202109</v>
      </c>
      <c r="L192" s="29" t="s">
        <v>148</v>
      </c>
      <c r="M192" s="29" t="s">
        <v>327</v>
      </c>
      <c r="N192" s="6">
        <v>19.989999999999998</v>
      </c>
      <c r="O192" s="37">
        <v>1</v>
      </c>
      <c r="P192" s="228">
        <v>12</v>
      </c>
      <c r="Q192" s="35">
        <f t="shared" ref="Q192:Q202" si="98">CONVERT(281,"g","lbm")</f>
        <v>0.61949895673950595</v>
      </c>
      <c r="R192" s="35">
        <v>7.6</v>
      </c>
      <c r="S192" s="35">
        <v>7.6</v>
      </c>
      <c r="T192" s="72">
        <v>2.4</v>
      </c>
      <c r="U192" s="46">
        <v>0.72</v>
      </c>
      <c r="V192" s="35">
        <v>7.875</v>
      </c>
      <c r="W192" s="35">
        <v>2.5</v>
      </c>
      <c r="X192" s="72">
        <v>8.5</v>
      </c>
      <c r="Y192" s="46" t="s">
        <v>66</v>
      </c>
      <c r="Z192" s="35" t="s">
        <v>66</v>
      </c>
      <c r="AA192" s="35" t="s">
        <v>66</v>
      </c>
      <c r="AB192" s="72" t="s">
        <v>66</v>
      </c>
      <c r="AC192" s="46">
        <v>9.8000000000000007</v>
      </c>
      <c r="AD192" s="35">
        <v>23.625</v>
      </c>
      <c r="AE192" s="35">
        <v>15.25</v>
      </c>
      <c r="AF192" s="72">
        <v>6.25</v>
      </c>
      <c r="AG192" s="44">
        <f t="shared" ref="AG192:AG202" si="99">AD192*AE192*AF192/(12^3)</f>
        <v>1.3031005859375</v>
      </c>
      <c r="AH192" s="39" t="s">
        <v>1689</v>
      </c>
      <c r="AI192" s="39" t="s">
        <v>1690</v>
      </c>
      <c r="AJ192" s="39" t="s">
        <v>1688</v>
      </c>
      <c r="AK192" s="20" t="s">
        <v>427</v>
      </c>
      <c r="AL192" s="20" t="s">
        <v>1937</v>
      </c>
      <c r="AM192" s="20"/>
      <c r="AN192" s="20"/>
      <c r="AO192" s="20"/>
      <c r="AP192" s="238" t="s">
        <v>1936</v>
      </c>
      <c r="AQ192" s="20" t="s">
        <v>1839</v>
      </c>
      <c r="AR192" s="97" t="s">
        <v>1838</v>
      </c>
    </row>
    <row r="193" spans="1:44" s="67" customFormat="1" ht="13.8" x14ac:dyDescent="0.3">
      <c r="A193" s="16" t="s">
        <v>121</v>
      </c>
      <c r="B193" s="143"/>
      <c r="C193" s="35" t="s">
        <v>366</v>
      </c>
      <c r="D193" s="17" t="s">
        <v>348</v>
      </c>
      <c r="E193" s="21" t="s">
        <v>1388</v>
      </c>
      <c r="F193" s="17" t="s">
        <v>349</v>
      </c>
      <c r="G193" s="17" t="s">
        <v>1518</v>
      </c>
      <c r="H193" s="79">
        <v>7331423006939</v>
      </c>
      <c r="I193" s="80" t="s">
        <v>66</v>
      </c>
      <c r="J193" s="80">
        <v>7331423200863</v>
      </c>
      <c r="K193" s="80">
        <v>17331423200860</v>
      </c>
      <c r="L193" s="29" t="s">
        <v>148</v>
      </c>
      <c r="M193" s="29" t="s">
        <v>327</v>
      </c>
      <c r="N193" s="6">
        <v>19.989999999999998</v>
      </c>
      <c r="O193" s="37">
        <v>1</v>
      </c>
      <c r="P193" s="228">
        <v>12</v>
      </c>
      <c r="Q193" s="35">
        <f t="shared" si="98"/>
        <v>0.61949895673950595</v>
      </c>
      <c r="R193" s="35">
        <v>7.6</v>
      </c>
      <c r="S193" s="35">
        <v>7.6</v>
      </c>
      <c r="T193" s="72">
        <v>2.4</v>
      </c>
      <c r="U193" s="46">
        <v>0.72</v>
      </c>
      <c r="V193" s="35">
        <v>7.875</v>
      </c>
      <c r="W193" s="35">
        <v>2.5</v>
      </c>
      <c r="X193" s="72">
        <v>8.5</v>
      </c>
      <c r="Y193" s="46" t="s">
        <v>66</v>
      </c>
      <c r="Z193" s="35" t="s">
        <v>66</v>
      </c>
      <c r="AA193" s="35" t="s">
        <v>66</v>
      </c>
      <c r="AB193" s="72" t="s">
        <v>66</v>
      </c>
      <c r="AC193" s="46">
        <v>9.8000000000000007</v>
      </c>
      <c r="AD193" s="35">
        <v>23.625</v>
      </c>
      <c r="AE193" s="35">
        <v>15.25</v>
      </c>
      <c r="AF193" s="72">
        <v>6.25</v>
      </c>
      <c r="AG193" s="44">
        <f t="shared" si="99"/>
        <v>1.3031005859375</v>
      </c>
      <c r="AH193" s="39" t="s">
        <v>1689</v>
      </c>
      <c r="AI193" s="39" t="s">
        <v>1690</v>
      </c>
      <c r="AJ193" s="39" t="s">
        <v>1688</v>
      </c>
      <c r="AK193" s="20" t="s">
        <v>427</v>
      </c>
      <c r="AL193" s="20" t="s">
        <v>1937</v>
      </c>
      <c r="AM193" s="20"/>
      <c r="AN193" s="20"/>
      <c r="AO193" s="20"/>
      <c r="AP193" s="238" t="s">
        <v>1936</v>
      </c>
      <c r="AQ193" s="20" t="s">
        <v>1839</v>
      </c>
      <c r="AR193" s="97" t="s">
        <v>1838</v>
      </c>
    </row>
    <row r="194" spans="1:44" s="67" customFormat="1" ht="13.8" x14ac:dyDescent="0.3">
      <c r="A194" s="16" t="s">
        <v>121</v>
      </c>
      <c r="B194" s="143"/>
      <c r="C194" s="35" t="s">
        <v>366</v>
      </c>
      <c r="D194" s="17" t="s">
        <v>89</v>
      </c>
      <c r="E194" s="21" t="s">
        <v>1388</v>
      </c>
      <c r="F194" s="17" t="s">
        <v>50</v>
      </c>
      <c r="G194" s="17" t="s">
        <v>1518</v>
      </c>
      <c r="H194" s="79">
        <v>7331423006953</v>
      </c>
      <c r="I194" s="80" t="s">
        <v>66</v>
      </c>
      <c r="J194" s="80">
        <v>7331423200870</v>
      </c>
      <c r="K194" s="80">
        <v>17331423200877</v>
      </c>
      <c r="L194" s="29" t="s">
        <v>148</v>
      </c>
      <c r="M194" s="29" t="s">
        <v>327</v>
      </c>
      <c r="N194" s="6">
        <v>19.989999999999998</v>
      </c>
      <c r="O194" s="37">
        <v>1</v>
      </c>
      <c r="P194" s="228">
        <v>12</v>
      </c>
      <c r="Q194" s="35">
        <f t="shared" si="98"/>
        <v>0.61949895673950595</v>
      </c>
      <c r="R194" s="35">
        <v>7.6</v>
      </c>
      <c r="S194" s="35">
        <v>7.6</v>
      </c>
      <c r="T194" s="72">
        <v>2.4</v>
      </c>
      <c r="U194" s="46">
        <v>0.72</v>
      </c>
      <c r="V194" s="35">
        <v>7.875</v>
      </c>
      <c r="W194" s="35">
        <v>2.5</v>
      </c>
      <c r="X194" s="72">
        <v>8.5</v>
      </c>
      <c r="Y194" s="46" t="s">
        <v>66</v>
      </c>
      <c r="Z194" s="35" t="s">
        <v>66</v>
      </c>
      <c r="AA194" s="35" t="s">
        <v>66</v>
      </c>
      <c r="AB194" s="72" t="s">
        <v>66</v>
      </c>
      <c r="AC194" s="46">
        <v>9.8000000000000007</v>
      </c>
      <c r="AD194" s="35">
        <v>23.625</v>
      </c>
      <c r="AE194" s="35">
        <v>15.25</v>
      </c>
      <c r="AF194" s="72">
        <v>6.25</v>
      </c>
      <c r="AG194" s="44">
        <f t="shared" si="99"/>
        <v>1.3031005859375</v>
      </c>
      <c r="AH194" s="39" t="s">
        <v>1689</v>
      </c>
      <c r="AI194" s="39" t="s">
        <v>1690</v>
      </c>
      <c r="AJ194" s="39" t="s">
        <v>1688</v>
      </c>
      <c r="AK194" s="20" t="s">
        <v>427</v>
      </c>
      <c r="AL194" s="20" t="s">
        <v>1937</v>
      </c>
      <c r="AM194" s="20"/>
      <c r="AN194" s="20"/>
      <c r="AO194" s="20"/>
      <c r="AP194" s="238" t="s">
        <v>1936</v>
      </c>
      <c r="AQ194" s="20" t="s">
        <v>1839</v>
      </c>
      <c r="AR194" s="97" t="s">
        <v>1838</v>
      </c>
    </row>
    <row r="195" spans="1:44" s="67" customFormat="1" ht="13.8" x14ac:dyDescent="0.3">
      <c r="A195" s="16" t="s">
        <v>121</v>
      </c>
      <c r="B195" s="143"/>
      <c r="C195" s="35" t="s">
        <v>366</v>
      </c>
      <c r="D195" s="17" t="s">
        <v>92</v>
      </c>
      <c r="E195" s="21" t="s">
        <v>1388</v>
      </c>
      <c r="F195" s="17" t="s">
        <v>51</v>
      </c>
      <c r="G195" s="17" t="s">
        <v>1518</v>
      </c>
      <c r="H195" s="79">
        <v>7331423006977</v>
      </c>
      <c r="I195" s="80" t="s">
        <v>66</v>
      </c>
      <c r="J195" s="80">
        <v>7331423201563</v>
      </c>
      <c r="K195" s="80">
        <v>17331423202130</v>
      </c>
      <c r="L195" s="29" t="s">
        <v>148</v>
      </c>
      <c r="M195" s="29" t="s">
        <v>327</v>
      </c>
      <c r="N195" s="6">
        <v>19.989999999999998</v>
      </c>
      <c r="O195" s="37">
        <v>1</v>
      </c>
      <c r="P195" s="228">
        <v>12</v>
      </c>
      <c r="Q195" s="35">
        <f t="shared" si="98"/>
        <v>0.61949895673950595</v>
      </c>
      <c r="R195" s="35">
        <v>7.6</v>
      </c>
      <c r="S195" s="35">
        <v>7.6</v>
      </c>
      <c r="T195" s="72">
        <v>2.4</v>
      </c>
      <c r="U195" s="46">
        <v>0.72</v>
      </c>
      <c r="V195" s="35">
        <v>7.875</v>
      </c>
      <c r="W195" s="35">
        <v>2.5</v>
      </c>
      <c r="X195" s="72">
        <v>8.5</v>
      </c>
      <c r="Y195" s="46" t="s">
        <v>66</v>
      </c>
      <c r="Z195" s="35" t="s">
        <v>66</v>
      </c>
      <c r="AA195" s="35" t="s">
        <v>66</v>
      </c>
      <c r="AB195" s="72" t="s">
        <v>66</v>
      </c>
      <c r="AC195" s="46">
        <v>9.8000000000000007</v>
      </c>
      <c r="AD195" s="35">
        <v>23.625</v>
      </c>
      <c r="AE195" s="35">
        <v>15.25</v>
      </c>
      <c r="AF195" s="72">
        <v>6.25</v>
      </c>
      <c r="AG195" s="44">
        <f t="shared" si="99"/>
        <v>1.3031005859375</v>
      </c>
      <c r="AH195" s="39" t="s">
        <v>1689</v>
      </c>
      <c r="AI195" s="39" t="s">
        <v>1690</v>
      </c>
      <c r="AJ195" s="39" t="s">
        <v>1688</v>
      </c>
      <c r="AK195" s="20" t="s">
        <v>427</v>
      </c>
      <c r="AL195" s="20" t="s">
        <v>1937</v>
      </c>
      <c r="AM195" s="20"/>
      <c r="AN195" s="20"/>
      <c r="AO195" s="20"/>
      <c r="AP195" s="238" t="s">
        <v>1936</v>
      </c>
      <c r="AQ195" s="20" t="s">
        <v>1839</v>
      </c>
      <c r="AR195" s="97" t="s">
        <v>1838</v>
      </c>
    </row>
    <row r="196" spans="1:44" s="16" customFormat="1" ht="13.8" x14ac:dyDescent="0.3">
      <c r="A196" s="16" t="s">
        <v>121</v>
      </c>
      <c r="B196" s="143"/>
      <c r="C196" s="35" t="s">
        <v>366</v>
      </c>
      <c r="D196" s="17" t="s">
        <v>87</v>
      </c>
      <c r="E196" s="21" t="s">
        <v>1388</v>
      </c>
      <c r="F196" s="17" t="s">
        <v>54</v>
      </c>
      <c r="G196" s="17" t="s">
        <v>1518</v>
      </c>
      <c r="H196" s="79">
        <v>7331423006946</v>
      </c>
      <c r="I196" s="80" t="s">
        <v>66</v>
      </c>
      <c r="J196" s="80">
        <v>7331423201594</v>
      </c>
      <c r="K196" s="80">
        <v>17331423201591</v>
      </c>
      <c r="L196" s="29" t="s">
        <v>148</v>
      </c>
      <c r="M196" s="29" t="s">
        <v>327</v>
      </c>
      <c r="N196" s="6">
        <v>19.989999999999998</v>
      </c>
      <c r="O196" s="37">
        <v>1</v>
      </c>
      <c r="P196" s="228">
        <v>12</v>
      </c>
      <c r="Q196" s="35">
        <f t="shared" si="98"/>
        <v>0.61949895673950595</v>
      </c>
      <c r="R196" s="35">
        <v>7.6</v>
      </c>
      <c r="S196" s="35">
        <v>7.6</v>
      </c>
      <c r="T196" s="72">
        <v>2.4</v>
      </c>
      <c r="U196" s="46">
        <v>0.72</v>
      </c>
      <c r="V196" s="35">
        <v>7.875</v>
      </c>
      <c r="W196" s="35">
        <v>2.5</v>
      </c>
      <c r="X196" s="72">
        <v>8.5</v>
      </c>
      <c r="Y196" s="46" t="s">
        <v>66</v>
      </c>
      <c r="Z196" s="35" t="s">
        <v>66</v>
      </c>
      <c r="AA196" s="35" t="s">
        <v>66</v>
      </c>
      <c r="AB196" s="72" t="s">
        <v>66</v>
      </c>
      <c r="AC196" s="46">
        <v>9.8000000000000007</v>
      </c>
      <c r="AD196" s="35">
        <v>23.625</v>
      </c>
      <c r="AE196" s="35">
        <v>15.25</v>
      </c>
      <c r="AF196" s="72">
        <v>6.25</v>
      </c>
      <c r="AG196" s="44">
        <f t="shared" si="99"/>
        <v>1.3031005859375</v>
      </c>
      <c r="AH196" s="39" t="s">
        <v>1689</v>
      </c>
      <c r="AI196" s="39" t="s">
        <v>1690</v>
      </c>
      <c r="AJ196" s="39" t="s">
        <v>1688</v>
      </c>
      <c r="AK196" s="20" t="s">
        <v>427</v>
      </c>
      <c r="AL196" s="20" t="s">
        <v>1937</v>
      </c>
      <c r="AM196" s="20"/>
      <c r="AN196" s="20"/>
      <c r="AO196" s="20"/>
      <c r="AP196" s="238" t="s">
        <v>1936</v>
      </c>
      <c r="AQ196" s="20" t="s">
        <v>1839</v>
      </c>
      <c r="AR196" s="97" t="s">
        <v>1838</v>
      </c>
    </row>
    <row r="197" spans="1:44" s="16" customFormat="1" ht="13.8" x14ac:dyDescent="0.3">
      <c r="A197" s="16" t="s">
        <v>121</v>
      </c>
      <c r="B197" s="143"/>
      <c r="C197" s="35" t="s">
        <v>366</v>
      </c>
      <c r="D197" s="17" t="s">
        <v>784</v>
      </c>
      <c r="E197" s="21" t="s">
        <v>1388</v>
      </c>
      <c r="F197" s="17" t="s">
        <v>882</v>
      </c>
      <c r="G197" s="17" t="s">
        <v>1518</v>
      </c>
      <c r="H197" s="79">
        <v>7331423008094</v>
      </c>
      <c r="I197" s="80" t="s">
        <v>66</v>
      </c>
      <c r="J197" s="80">
        <v>7331423200856</v>
      </c>
      <c r="K197" s="80">
        <v>17331423200853</v>
      </c>
      <c r="L197" s="29" t="s">
        <v>148</v>
      </c>
      <c r="M197" s="29" t="s">
        <v>327</v>
      </c>
      <c r="N197" s="6">
        <v>19.989999999999998</v>
      </c>
      <c r="O197" s="37">
        <v>1</v>
      </c>
      <c r="P197" s="228">
        <v>12</v>
      </c>
      <c r="Q197" s="35">
        <f t="shared" si="98"/>
        <v>0.61949895673950595</v>
      </c>
      <c r="R197" s="35">
        <v>7.6</v>
      </c>
      <c r="S197" s="35">
        <v>7.6</v>
      </c>
      <c r="T197" s="72">
        <v>2.4</v>
      </c>
      <c r="U197" s="46">
        <v>0.72</v>
      </c>
      <c r="V197" s="35">
        <v>7.875</v>
      </c>
      <c r="W197" s="35">
        <v>2.5</v>
      </c>
      <c r="X197" s="72">
        <v>8.5</v>
      </c>
      <c r="Y197" s="46" t="s">
        <v>66</v>
      </c>
      <c r="Z197" s="35" t="s">
        <v>66</v>
      </c>
      <c r="AA197" s="35" t="s">
        <v>66</v>
      </c>
      <c r="AB197" s="72" t="s">
        <v>66</v>
      </c>
      <c r="AC197" s="46">
        <v>9.8000000000000007</v>
      </c>
      <c r="AD197" s="35">
        <v>23.625</v>
      </c>
      <c r="AE197" s="35">
        <v>15.25</v>
      </c>
      <c r="AF197" s="72">
        <v>6.25</v>
      </c>
      <c r="AG197" s="44">
        <f t="shared" si="99"/>
        <v>1.3031005859375</v>
      </c>
      <c r="AH197" s="39" t="s">
        <v>1689</v>
      </c>
      <c r="AI197" s="39" t="s">
        <v>1690</v>
      </c>
      <c r="AJ197" s="39" t="s">
        <v>1688</v>
      </c>
      <c r="AK197" s="20" t="s">
        <v>427</v>
      </c>
      <c r="AL197" s="20" t="s">
        <v>1937</v>
      </c>
      <c r="AM197" s="20"/>
      <c r="AN197" s="20"/>
      <c r="AO197" s="20"/>
      <c r="AP197" s="238" t="s">
        <v>1936</v>
      </c>
      <c r="AQ197" s="20" t="s">
        <v>1839</v>
      </c>
      <c r="AR197" s="97" t="s">
        <v>1838</v>
      </c>
    </row>
    <row r="198" spans="1:44" s="16" customFormat="1" ht="13.8" x14ac:dyDescent="0.3">
      <c r="A198" s="16" t="s">
        <v>121</v>
      </c>
      <c r="B198" s="143"/>
      <c r="C198" s="35" t="s">
        <v>366</v>
      </c>
      <c r="D198" s="17" t="s">
        <v>785</v>
      </c>
      <c r="E198" s="21" t="s">
        <v>1388</v>
      </c>
      <c r="F198" s="17" t="s">
        <v>881</v>
      </c>
      <c r="G198" s="17" t="s">
        <v>1518</v>
      </c>
      <c r="H198" s="79">
        <v>7331423007387</v>
      </c>
      <c r="I198" s="80" t="s">
        <v>66</v>
      </c>
      <c r="J198" s="80">
        <v>7331423200849</v>
      </c>
      <c r="K198" s="80">
        <v>17331423200846</v>
      </c>
      <c r="L198" s="29" t="s">
        <v>148</v>
      </c>
      <c r="M198" s="29" t="s">
        <v>327</v>
      </c>
      <c r="N198" s="6">
        <v>19.989999999999998</v>
      </c>
      <c r="O198" s="37">
        <v>1</v>
      </c>
      <c r="P198" s="228">
        <v>12</v>
      </c>
      <c r="Q198" s="35">
        <f t="shared" si="98"/>
        <v>0.61949895673950595</v>
      </c>
      <c r="R198" s="35">
        <v>7.6</v>
      </c>
      <c r="S198" s="35">
        <v>7.6</v>
      </c>
      <c r="T198" s="72">
        <v>2.4</v>
      </c>
      <c r="U198" s="46">
        <v>0.72</v>
      </c>
      <c r="V198" s="35">
        <v>7.875</v>
      </c>
      <c r="W198" s="35">
        <v>2.5</v>
      </c>
      <c r="X198" s="72">
        <v>8.5</v>
      </c>
      <c r="Y198" s="46" t="s">
        <v>66</v>
      </c>
      <c r="Z198" s="35" t="s">
        <v>66</v>
      </c>
      <c r="AA198" s="35" t="s">
        <v>66</v>
      </c>
      <c r="AB198" s="72" t="s">
        <v>66</v>
      </c>
      <c r="AC198" s="46">
        <v>9.8000000000000007</v>
      </c>
      <c r="AD198" s="35">
        <v>23.625</v>
      </c>
      <c r="AE198" s="35">
        <v>15.25</v>
      </c>
      <c r="AF198" s="72">
        <v>6.25</v>
      </c>
      <c r="AG198" s="44">
        <f t="shared" si="99"/>
        <v>1.3031005859375</v>
      </c>
      <c r="AH198" s="39" t="s">
        <v>1689</v>
      </c>
      <c r="AI198" s="39" t="s">
        <v>1690</v>
      </c>
      <c r="AJ198" s="39" t="s">
        <v>1688</v>
      </c>
      <c r="AK198" s="20" t="s">
        <v>427</v>
      </c>
      <c r="AL198" s="20" t="s">
        <v>1937</v>
      </c>
      <c r="AM198" s="20"/>
      <c r="AN198" s="20"/>
      <c r="AO198" s="20"/>
      <c r="AP198" s="238" t="s">
        <v>1936</v>
      </c>
      <c r="AQ198" s="20" t="s">
        <v>1839</v>
      </c>
      <c r="AR198" s="97" t="s">
        <v>1838</v>
      </c>
    </row>
    <row r="199" spans="1:44" s="16" customFormat="1" ht="13.8" x14ac:dyDescent="0.3">
      <c r="A199" s="16" t="s">
        <v>121</v>
      </c>
      <c r="B199" s="143"/>
      <c r="C199" s="35" t="s">
        <v>366</v>
      </c>
      <c r="D199" s="17" t="s">
        <v>786</v>
      </c>
      <c r="E199" s="21" t="s">
        <v>1388</v>
      </c>
      <c r="F199" s="35" t="s">
        <v>1700</v>
      </c>
      <c r="G199" s="17" t="s">
        <v>1518</v>
      </c>
      <c r="H199" s="79">
        <v>7331423008100</v>
      </c>
      <c r="I199" s="80" t="s">
        <v>66</v>
      </c>
      <c r="J199" s="80">
        <v>7331423008100</v>
      </c>
      <c r="K199" s="80">
        <v>17331423200884</v>
      </c>
      <c r="L199" s="29" t="s">
        <v>148</v>
      </c>
      <c r="M199" s="29" t="s">
        <v>327</v>
      </c>
      <c r="N199" s="6">
        <v>19.989999999999998</v>
      </c>
      <c r="O199" s="37">
        <v>1</v>
      </c>
      <c r="P199" s="228">
        <v>12</v>
      </c>
      <c r="Q199" s="35">
        <f t="shared" si="98"/>
        <v>0.61949895673950595</v>
      </c>
      <c r="R199" s="35">
        <v>7.6</v>
      </c>
      <c r="S199" s="35">
        <v>7.6</v>
      </c>
      <c r="T199" s="72">
        <v>2.4</v>
      </c>
      <c r="U199" s="46">
        <v>0.72</v>
      </c>
      <c r="V199" s="35">
        <v>7.875</v>
      </c>
      <c r="W199" s="35">
        <v>2.5</v>
      </c>
      <c r="X199" s="72">
        <v>8.5</v>
      </c>
      <c r="Y199" s="46" t="s">
        <v>66</v>
      </c>
      <c r="Z199" s="35" t="s">
        <v>66</v>
      </c>
      <c r="AA199" s="35" t="s">
        <v>66</v>
      </c>
      <c r="AB199" s="72" t="s">
        <v>66</v>
      </c>
      <c r="AC199" s="46">
        <v>9.8000000000000007</v>
      </c>
      <c r="AD199" s="35">
        <v>23.625</v>
      </c>
      <c r="AE199" s="35">
        <v>15.25</v>
      </c>
      <c r="AF199" s="72">
        <v>6.25</v>
      </c>
      <c r="AG199" s="44">
        <f t="shared" si="99"/>
        <v>1.3031005859375</v>
      </c>
      <c r="AH199" s="39" t="s">
        <v>1689</v>
      </c>
      <c r="AI199" s="39" t="s">
        <v>1690</v>
      </c>
      <c r="AJ199" s="39" t="s">
        <v>1688</v>
      </c>
      <c r="AK199" s="20" t="s">
        <v>427</v>
      </c>
      <c r="AL199" s="20" t="s">
        <v>1937</v>
      </c>
      <c r="AM199" s="20"/>
      <c r="AN199" s="20"/>
      <c r="AO199" s="20"/>
      <c r="AP199" s="238" t="s">
        <v>1936</v>
      </c>
      <c r="AQ199" s="20" t="s">
        <v>1839</v>
      </c>
      <c r="AR199" s="97" t="s">
        <v>1838</v>
      </c>
    </row>
    <row r="200" spans="1:44" s="67" customFormat="1" ht="13.8" x14ac:dyDescent="0.3">
      <c r="A200" s="16" t="s">
        <v>121</v>
      </c>
      <c r="B200" s="141"/>
      <c r="C200" s="35" t="s">
        <v>366</v>
      </c>
      <c r="D200" s="35" t="s">
        <v>1812</v>
      </c>
      <c r="E200" s="21" t="s">
        <v>1388</v>
      </c>
      <c r="F200" s="17" t="s">
        <v>1813</v>
      </c>
      <c r="G200" s="17" t="s">
        <v>1518</v>
      </c>
      <c r="H200" s="268">
        <v>7331423010110</v>
      </c>
      <c r="I200" s="80" t="s">
        <v>66</v>
      </c>
      <c r="J200" s="268">
        <v>7331423202461</v>
      </c>
      <c r="K200" s="268">
        <v>17331423202543</v>
      </c>
      <c r="L200" s="29" t="s">
        <v>148</v>
      </c>
      <c r="M200" s="29" t="s">
        <v>327</v>
      </c>
      <c r="N200" s="6">
        <v>19.989999999999998</v>
      </c>
      <c r="O200" s="37">
        <v>1</v>
      </c>
      <c r="P200" s="228">
        <v>12</v>
      </c>
      <c r="Q200" s="35">
        <f t="shared" si="98"/>
        <v>0.61949895673950595</v>
      </c>
      <c r="R200" s="35">
        <v>7.6</v>
      </c>
      <c r="S200" s="35">
        <v>7.6</v>
      </c>
      <c r="T200" s="72">
        <v>2.4</v>
      </c>
      <c r="U200" s="46">
        <v>0.72</v>
      </c>
      <c r="V200" s="35">
        <v>7.875</v>
      </c>
      <c r="W200" s="35">
        <v>2.5</v>
      </c>
      <c r="X200" s="72">
        <v>8.5</v>
      </c>
      <c r="Y200" s="46" t="s">
        <v>66</v>
      </c>
      <c r="Z200" s="35" t="s">
        <v>66</v>
      </c>
      <c r="AA200" s="35" t="s">
        <v>66</v>
      </c>
      <c r="AB200" s="72" t="s">
        <v>66</v>
      </c>
      <c r="AC200" s="46">
        <v>9.8000000000000007</v>
      </c>
      <c r="AD200" s="35">
        <v>23.625</v>
      </c>
      <c r="AE200" s="35">
        <v>15.25</v>
      </c>
      <c r="AF200" s="72">
        <v>6.25</v>
      </c>
      <c r="AG200" s="44">
        <f t="shared" si="99"/>
        <v>1.3031005859375</v>
      </c>
      <c r="AH200" s="39" t="s">
        <v>1689</v>
      </c>
      <c r="AI200" s="39" t="s">
        <v>1690</v>
      </c>
      <c r="AJ200" s="39" t="s">
        <v>1688</v>
      </c>
      <c r="AK200" s="20" t="s">
        <v>427</v>
      </c>
      <c r="AL200" s="20" t="s">
        <v>1937</v>
      </c>
      <c r="AM200" s="20"/>
      <c r="AN200" s="20"/>
      <c r="AO200" s="20"/>
      <c r="AP200" s="238" t="s">
        <v>1936</v>
      </c>
      <c r="AQ200" s="20" t="s">
        <v>1839</v>
      </c>
      <c r="AR200" s="97" t="s">
        <v>1838</v>
      </c>
    </row>
    <row r="201" spans="1:44" s="67" customFormat="1" ht="13.8" x14ac:dyDescent="0.3">
      <c r="A201" s="16" t="s">
        <v>121</v>
      </c>
      <c r="B201" s="141"/>
      <c r="C201" s="35" t="s">
        <v>366</v>
      </c>
      <c r="D201" s="35" t="s">
        <v>1814</v>
      </c>
      <c r="E201" s="21" t="s">
        <v>1388</v>
      </c>
      <c r="F201" s="17" t="s">
        <v>1815</v>
      </c>
      <c r="G201" s="17" t="s">
        <v>1518</v>
      </c>
      <c r="H201" s="268">
        <v>7331423010127</v>
      </c>
      <c r="I201" s="80" t="s">
        <v>66</v>
      </c>
      <c r="J201" s="268">
        <v>7331423202478</v>
      </c>
      <c r="K201" s="268">
        <v>17331423202550</v>
      </c>
      <c r="L201" s="29" t="s">
        <v>148</v>
      </c>
      <c r="M201" s="29" t="s">
        <v>327</v>
      </c>
      <c r="N201" s="6">
        <v>19.989999999999998</v>
      </c>
      <c r="O201" s="37">
        <v>1</v>
      </c>
      <c r="P201" s="228">
        <v>12</v>
      </c>
      <c r="Q201" s="35">
        <f t="shared" si="98"/>
        <v>0.61949895673950595</v>
      </c>
      <c r="R201" s="35">
        <v>7.6</v>
      </c>
      <c r="S201" s="35">
        <v>7.6</v>
      </c>
      <c r="T201" s="72">
        <v>2.4</v>
      </c>
      <c r="U201" s="46">
        <v>0.72</v>
      </c>
      <c r="V201" s="35">
        <v>7.875</v>
      </c>
      <c r="W201" s="35">
        <v>2.5</v>
      </c>
      <c r="X201" s="72">
        <v>8.5</v>
      </c>
      <c r="Y201" s="46" t="s">
        <v>66</v>
      </c>
      <c r="Z201" s="35" t="s">
        <v>66</v>
      </c>
      <c r="AA201" s="35" t="s">
        <v>66</v>
      </c>
      <c r="AB201" s="72" t="s">
        <v>66</v>
      </c>
      <c r="AC201" s="46">
        <v>9.8000000000000007</v>
      </c>
      <c r="AD201" s="35">
        <v>23.625</v>
      </c>
      <c r="AE201" s="35">
        <v>15.25</v>
      </c>
      <c r="AF201" s="72">
        <v>6.25</v>
      </c>
      <c r="AG201" s="44">
        <f t="shared" si="99"/>
        <v>1.3031005859375</v>
      </c>
      <c r="AH201" s="39" t="s">
        <v>1689</v>
      </c>
      <c r="AI201" s="39" t="s">
        <v>1690</v>
      </c>
      <c r="AJ201" s="39" t="s">
        <v>1688</v>
      </c>
      <c r="AK201" s="20" t="s">
        <v>427</v>
      </c>
      <c r="AL201" s="20" t="s">
        <v>1937</v>
      </c>
      <c r="AM201" s="20"/>
      <c r="AN201" s="20"/>
      <c r="AO201" s="20"/>
      <c r="AP201" s="238" t="s">
        <v>1936</v>
      </c>
      <c r="AQ201" s="20" t="s">
        <v>1839</v>
      </c>
      <c r="AR201" s="97" t="s">
        <v>1838</v>
      </c>
    </row>
    <row r="202" spans="1:44" s="67" customFormat="1" ht="13.8" x14ac:dyDescent="0.3">
      <c r="A202" s="16" t="s">
        <v>121</v>
      </c>
      <c r="B202" s="141"/>
      <c r="C202" s="35" t="s">
        <v>366</v>
      </c>
      <c r="D202" s="35" t="s">
        <v>2720</v>
      </c>
      <c r="E202" s="21" t="s">
        <v>1388</v>
      </c>
      <c r="F202" s="17" t="s">
        <v>1817</v>
      </c>
      <c r="G202" s="17" t="s">
        <v>1518</v>
      </c>
      <c r="H202" s="268">
        <v>7331423010134</v>
      </c>
      <c r="I202" s="80" t="s">
        <v>66</v>
      </c>
      <c r="J202" s="268">
        <v>7331423202485</v>
      </c>
      <c r="K202" s="268">
        <v>17331423202567</v>
      </c>
      <c r="L202" s="29" t="s">
        <v>148</v>
      </c>
      <c r="M202" s="29" t="s">
        <v>327</v>
      </c>
      <c r="N202" s="6">
        <v>19.989999999999998</v>
      </c>
      <c r="O202" s="37">
        <v>1</v>
      </c>
      <c r="P202" s="228">
        <v>12</v>
      </c>
      <c r="Q202" s="35">
        <f t="shared" si="98"/>
        <v>0.61949895673950595</v>
      </c>
      <c r="R202" s="35">
        <v>7.6</v>
      </c>
      <c r="S202" s="35">
        <v>7.6</v>
      </c>
      <c r="T202" s="72">
        <v>2.4</v>
      </c>
      <c r="U202" s="46">
        <v>0.72</v>
      </c>
      <c r="V202" s="35">
        <v>7.875</v>
      </c>
      <c r="W202" s="35">
        <v>2.5</v>
      </c>
      <c r="X202" s="72">
        <v>8.5</v>
      </c>
      <c r="Y202" s="46" t="s">
        <v>66</v>
      </c>
      <c r="Z202" s="35" t="s">
        <v>66</v>
      </c>
      <c r="AA202" s="35" t="s">
        <v>66</v>
      </c>
      <c r="AB202" s="72" t="s">
        <v>66</v>
      </c>
      <c r="AC202" s="46">
        <v>9.8000000000000007</v>
      </c>
      <c r="AD202" s="35">
        <v>23.625</v>
      </c>
      <c r="AE202" s="35">
        <v>15.25</v>
      </c>
      <c r="AF202" s="72">
        <v>6.25</v>
      </c>
      <c r="AG202" s="44">
        <f t="shared" si="99"/>
        <v>1.3031005859375</v>
      </c>
      <c r="AH202" s="39" t="s">
        <v>1689</v>
      </c>
      <c r="AI202" s="39" t="s">
        <v>1690</v>
      </c>
      <c r="AJ202" s="39" t="s">
        <v>1688</v>
      </c>
      <c r="AK202" s="20" t="s">
        <v>427</v>
      </c>
      <c r="AL202" s="20" t="s">
        <v>1937</v>
      </c>
      <c r="AM202" s="20"/>
      <c r="AN202" s="20"/>
      <c r="AO202" s="20"/>
      <c r="AP202" s="238" t="s">
        <v>1936</v>
      </c>
      <c r="AQ202" s="20" t="s">
        <v>1839</v>
      </c>
      <c r="AR202" s="97" t="s">
        <v>1838</v>
      </c>
    </row>
    <row r="203" spans="1:44" s="39" customFormat="1" x14ac:dyDescent="0.25">
      <c r="H203" s="296"/>
      <c r="I203" s="296"/>
      <c r="J203" s="296"/>
      <c r="K203" s="296"/>
      <c r="M203" s="296"/>
      <c r="P203" s="279"/>
      <c r="Q203" s="177"/>
      <c r="R203" s="177"/>
      <c r="S203" s="177"/>
      <c r="T203" s="227"/>
      <c r="U203" s="95"/>
      <c r="V203" s="177"/>
      <c r="W203" s="177"/>
      <c r="X203" s="227"/>
      <c r="Y203" s="95"/>
      <c r="Z203" s="177"/>
      <c r="AA203" s="177"/>
      <c r="AB203" s="227"/>
      <c r="AC203" s="95"/>
      <c r="AD203" s="177"/>
      <c r="AE203" s="177"/>
      <c r="AF203" s="227"/>
      <c r="AG203" s="397"/>
    </row>
    <row r="204" spans="1:44" s="104" customFormat="1" ht="15.6" x14ac:dyDescent="0.3">
      <c r="A204" s="108" t="s">
        <v>813</v>
      </c>
      <c r="B204" s="370"/>
      <c r="C204" s="308"/>
      <c r="D204" s="247" t="s">
        <v>128</v>
      </c>
      <c r="E204" s="248"/>
      <c r="F204" s="247"/>
      <c r="G204" s="247"/>
      <c r="H204" s="249"/>
      <c r="I204" s="249"/>
      <c r="J204" s="249"/>
      <c r="K204" s="249"/>
      <c r="L204" s="249"/>
      <c r="M204" s="249"/>
      <c r="N204" s="250"/>
      <c r="O204" s="251"/>
      <c r="P204" s="277"/>
      <c r="Q204" s="247"/>
      <c r="R204" s="247"/>
      <c r="S204" s="247"/>
      <c r="T204" s="253"/>
      <c r="U204" s="252"/>
      <c r="V204" s="247"/>
      <c r="W204" s="247"/>
      <c r="X204" s="253"/>
      <c r="Y204" s="252"/>
      <c r="Z204" s="247"/>
      <c r="AA204" s="247"/>
      <c r="AB204" s="253"/>
      <c r="AC204" s="252"/>
      <c r="AD204" s="247"/>
      <c r="AE204" s="247"/>
      <c r="AF204" s="253"/>
      <c r="AG204" s="252"/>
      <c r="AP204" s="254"/>
      <c r="AQ204" s="255"/>
    </row>
    <row r="205" spans="1:44" s="16" customFormat="1" ht="13.8" x14ac:dyDescent="0.3">
      <c r="A205" s="16" t="s">
        <v>121</v>
      </c>
      <c r="B205" s="143"/>
      <c r="C205" s="105" t="s">
        <v>816</v>
      </c>
      <c r="D205" s="17" t="s">
        <v>788</v>
      </c>
      <c r="E205" s="18" t="s">
        <v>1404</v>
      </c>
      <c r="F205" s="17" t="s">
        <v>1756</v>
      </c>
      <c r="G205" s="17" t="s">
        <v>1518</v>
      </c>
      <c r="H205" s="29" t="s">
        <v>818</v>
      </c>
      <c r="I205" s="80" t="s">
        <v>66</v>
      </c>
      <c r="J205" s="38" t="s">
        <v>1778</v>
      </c>
      <c r="K205" s="38" t="s">
        <v>1779</v>
      </c>
      <c r="L205" s="29" t="s">
        <v>148</v>
      </c>
      <c r="M205" s="29" t="s">
        <v>327</v>
      </c>
      <c r="N205" s="6">
        <v>39.99</v>
      </c>
      <c r="O205" s="37">
        <v>1</v>
      </c>
      <c r="P205" s="228">
        <v>12</v>
      </c>
      <c r="Q205" s="35">
        <f>CONVERT(342,"g","lbm")</f>
        <v>0.75398093667228128</v>
      </c>
      <c r="R205" s="35" t="s">
        <v>66</v>
      </c>
      <c r="S205" s="35" t="s">
        <v>66</v>
      </c>
      <c r="T205" s="227" t="s">
        <v>66</v>
      </c>
      <c r="U205" s="46">
        <f>CONVERT(400,"g","lbm")</f>
        <v>0.88184904873951031</v>
      </c>
      <c r="V205" s="35">
        <v>7.75</v>
      </c>
      <c r="W205" s="35">
        <v>2.8174999999999999</v>
      </c>
      <c r="X205" s="72">
        <v>8.5</v>
      </c>
      <c r="Y205" s="46" t="s">
        <v>66</v>
      </c>
      <c r="Z205" s="35" t="s">
        <v>66</v>
      </c>
      <c r="AA205" s="35" t="s">
        <v>66</v>
      </c>
      <c r="AB205" s="72" t="s">
        <v>66</v>
      </c>
      <c r="AC205" s="46">
        <v>11.75</v>
      </c>
      <c r="AD205" s="35">
        <v>23.5</v>
      </c>
      <c r="AE205" s="35">
        <v>15.375</v>
      </c>
      <c r="AF205" s="72">
        <v>6.125</v>
      </c>
      <c r="AG205" s="46">
        <f>AD205*AE205*AF205/(12^3)</f>
        <v>1.2806939019097223</v>
      </c>
      <c r="AH205" s="20" t="s">
        <v>814</v>
      </c>
      <c r="AI205" s="20" t="s">
        <v>1939</v>
      </c>
      <c r="AJ205" s="16" t="s">
        <v>427</v>
      </c>
      <c r="AK205" s="20" t="s">
        <v>1940</v>
      </c>
      <c r="AL205" s="20"/>
      <c r="AM205" s="20"/>
      <c r="AN205" s="20"/>
      <c r="AO205" s="20"/>
      <c r="AP205" s="20" t="s">
        <v>1938</v>
      </c>
      <c r="AQ205" s="20" t="s">
        <v>1839</v>
      </c>
      <c r="AR205" s="97" t="s">
        <v>1838</v>
      </c>
    </row>
    <row r="206" spans="1:44" s="16" customFormat="1" ht="13.8" x14ac:dyDescent="0.3">
      <c r="A206" s="16" t="s">
        <v>121</v>
      </c>
      <c r="B206" s="143"/>
      <c r="C206" s="105" t="s">
        <v>816</v>
      </c>
      <c r="D206" s="17" t="s">
        <v>806</v>
      </c>
      <c r="E206" s="18" t="s">
        <v>1404</v>
      </c>
      <c r="F206" s="17" t="s">
        <v>791</v>
      </c>
      <c r="G206" s="17" t="s">
        <v>1518</v>
      </c>
      <c r="H206" s="60">
        <v>7331423008643</v>
      </c>
      <c r="I206" s="80" t="s">
        <v>66</v>
      </c>
      <c r="J206" s="68">
        <v>7331423200214</v>
      </c>
      <c r="K206" s="68">
        <v>17331423200211</v>
      </c>
      <c r="L206" s="29" t="s">
        <v>148</v>
      </c>
      <c r="M206" s="29" t="s">
        <v>327</v>
      </c>
      <c r="N206" s="6">
        <v>39.99</v>
      </c>
      <c r="O206" s="37">
        <v>1</v>
      </c>
      <c r="P206" s="228">
        <v>12</v>
      </c>
      <c r="Q206" s="35">
        <f>CONVERT(342,"g","lbm")</f>
        <v>0.75398093667228128</v>
      </c>
      <c r="R206" s="35" t="s">
        <v>66</v>
      </c>
      <c r="S206" s="35" t="s">
        <v>66</v>
      </c>
      <c r="T206" s="227" t="s">
        <v>66</v>
      </c>
      <c r="U206" s="46">
        <f>CONVERT(400,"g","lbm")</f>
        <v>0.88184904873951031</v>
      </c>
      <c r="V206" s="35">
        <v>7.75</v>
      </c>
      <c r="W206" s="35">
        <v>2.8174999999999999</v>
      </c>
      <c r="X206" s="72">
        <v>8.5</v>
      </c>
      <c r="Y206" s="46" t="s">
        <v>66</v>
      </c>
      <c r="Z206" s="35" t="s">
        <v>66</v>
      </c>
      <c r="AA206" s="35" t="s">
        <v>66</v>
      </c>
      <c r="AB206" s="72" t="s">
        <v>66</v>
      </c>
      <c r="AC206" s="46">
        <v>11.75</v>
      </c>
      <c r="AD206" s="35">
        <v>23.5</v>
      </c>
      <c r="AE206" s="35">
        <v>15.375</v>
      </c>
      <c r="AF206" s="72">
        <v>6.125</v>
      </c>
      <c r="AG206" s="46">
        <f>AD206*AE206*AF206/(12^3)</f>
        <v>1.2806939019097223</v>
      </c>
      <c r="AH206" s="20" t="s">
        <v>814</v>
      </c>
      <c r="AI206" s="20" t="s">
        <v>1939</v>
      </c>
      <c r="AJ206" s="16" t="s">
        <v>427</v>
      </c>
      <c r="AK206" s="20" t="s">
        <v>1940</v>
      </c>
      <c r="AL206" s="20"/>
      <c r="AM206" s="20"/>
      <c r="AN206" s="20"/>
      <c r="AO206" s="20"/>
      <c r="AP206" s="20" t="s">
        <v>1938</v>
      </c>
      <c r="AQ206" s="20" t="s">
        <v>1839</v>
      </c>
      <c r="AR206" s="97" t="s">
        <v>1838</v>
      </c>
    </row>
    <row r="207" spans="1:44" s="16" customFormat="1" ht="13.8" x14ac:dyDescent="0.3">
      <c r="A207" s="16" t="s">
        <v>121</v>
      </c>
      <c r="B207" s="143"/>
      <c r="C207" s="105" t="s">
        <v>816</v>
      </c>
      <c r="D207" s="17" t="s">
        <v>811</v>
      </c>
      <c r="E207" s="18" t="s">
        <v>1404</v>
      </c>
      <c r="F207" s="17" t="s">
        <v>815</v>
      </c>
      <c r="G207" s="17" t="s">
        <v>1518</v>
      </c>
      <c r="H207" s="29" t="s">
        <v>817</v>
      </c>
      <c r="I207" s="80" t="s">
        <v>66</v>
      </c>
      <c r="J207" s="38" t="s">
        <v>1776</v>
      </c>
      <c r="K207" s="38" t="s">
        <v>1777</v>
      </c>
      <c r="L207" s="29" t="s">
        <v>148</v>
      </c>
      <c r="M207" s="29" t="s">
        <v>327</v>
      </c>
      <c r="N207" s="6">
        <v>39.99</v>
      </c>
      <c r="O207" s="37">
        <v>1</v>
      </c>
      <c r="P207" s="228">
        <v>12</v>
      </c>
      <c r="Q207" s="35">
        <f>CONVERT(342,"g","lbm")</f>
        <v>0.75398093667228128</v>
      </c>
      <c r="R207" s="35" t="s">
        <v>66</v>
      </c>
      <c r="S207" s="35" t="s">
        <v>66</v>
      </c>
      <c r="T207" s="227" t="s">
        <v>66</v>
      </c>
      <c r="U207" s="46">
        <f>CONVERT(400,"g","lbm")</f>
        <v>0.88184904873951031</v>
      </c>
      <c r="V207" s="35">
        <v>7.75</v>
      </c>
      <c r="W207" s="35">
        <v>2.8174999999999999</v>
      </c>
      <c r="X207" s="72">
        <v>8.5</v>
      </c>
      <c r="Y207" s="46" t="s">
        <v>66</v>
      </c>
      <c r="Z207" s="35" t="s">
        <v>66</v>
      </c>
      <c r="AA207" s="35" t="s">
        <v>66</v>
      </c>
      <c r="AB207" s="72" t="s">
        <v>66</v>
      </c>
      <c r="AC207" s="46">
        <v>11.75</v>
      </c>
      <c r="AD207" s="35">
        <v>23.5</v>
      </c>
      <c r="AE207" s="35">
        <v>15.375</v>
      </c>
      <c r="AF207" s="72">
        <v>6.125</v>
      </c>
      <c r="AG207" s="46">
        <f>AD207*AE207*AF207/(12^3)</f>
        <v>1.2806939019097223</v>
      </c>
      <c r="AH207" s="20" t="s">
        <v>814</v>
      </c>
      <c r="AI207" s="20" t="s">
        <v>1939</v>
      </c>
      <c r="AJ207" s="16" t="s">
        <v>427</v>
      </c>
      <c r="AK207" s="20" t="s">
        <v>1940</v>
      </c>
      <c r="AL207" s="20"/>
      <c r="AM207" s="20"/>
      <c r="AN207" s="20"/>
      <c r="AO207" s="20"/>
      <c r="AP207" s="20" t="s">
        <v>1938</v>
      </c>
      <c r="AQ207" s="20" t="s">
        <v>1839</v>
      </c>
      <c r="AR207" s="97" t="s">
        <v>1838</v>
      </c>
    </row>
    <row r="208" spans="1:44" s="16" customFormat="1" ht="13.8" x14ac:dyDescent="0.3">
      <c r="A208" s="16" t="s">
        <v>121</v>
      </c>
      <c r="B208" s="143"/>
      <c r="C208" s="105" t="s">
        <v>816</v>
      </c>
      <c r="D208" s="17" t="s">
        <v>786</v>
      </c>
      <c r="E208" s="18" t="s">
        <v>1404</v>
      </c>
      <c r="F208" s="35" t="s">
        <v>1722</v>
      </c>
      <c r="G208" s="17" t="s">
        <v>1518</v>
      </c>
      <c r="H208" s="71">
        <v>7331423008322</v>
      </c>
      <c r="I208" s="80" t="s">
        <v>66</v>
      </c>
      <c r="J208" s="453">
        <v>7331423200245</v>
      </c>
      <c r="K208" s="404">
        <v>17331423200242</v>
      </c>
      <c r="L208" s="29" t="s">
        <v>148</v>
      </c>
      <c r="M208" s="29" t="s">
        <v>327</v>
      </c>
      <c r="N208" s="6">
        <v>39.99</v>
      </c>
      <c r="O208" s="37">
        <v>1</v>
      </c>
      <c r="P208" s="228">
        <v>12</v>
      </c>
      <c r="Q208" s="35">
        <f>CONVERT(342,"g","lbm")</f>
        <v>0.75398093667228128</v>
      </c>
      <c r="R208" s="35" t="s">
        <v>66</v>
      </c>
      <c r="S208" s="35" t="s">
        <v>66</v>
      </c>
      <c r="T208" s="227" t="s">
        <v>66</v>
      </c>
      <c r="U208" s="46">
        <f>CONVERT(400,"g","lbm")</f>
        <v>0.88184904873951031</v>
      </c>
      <c r="V208" s="35">
        <v>7.75</v>
      </c>
      <c r="W208" s="35">
        <v>2.8174999999999999</v>
      </c>
      <c r="X208" s="72">
        <v>8.5</v>
      </c>
      <c r="Y208" s="46" t="s">
        <v>66</v>
      </c>
      <c r="Z208" s="35" t="s">
        <v>66</v>
      </c>
      <c r="AA208" s="35" t="s">
        <v>66</v>
      </c>
      <c r="AB208" s="72" t="s">
        <v>66</v>
      </c>
      <c r="AC208" s="46">
        <v>11.75</v>
      </c>
      <c r="AD208" s="35">
        <v>23.5</v>
      </c>
      <c r="AE208" s="35">
        <v>15.375</v>
      </c>
      <c r="AF208" s="72">
        <v>6.125</v>
      </c>
      <c r="AG208" s="46">
        <f>AD208*AE208*AF208/(12^3)</f>
        <v>1.2806939019097223</v>
      </c>
      <c r="AH208" s="20" t="s">
        <v>814</v>
      </c>
      <c r="AI208" s="20" t="s">
        <v>1939</v>
      </c>
      <c r="AJ208" s="16" t="s">
        <v>427</v>
      </c>
      <c r="AK208" s="20" t="s">
        <v>1940</v>
      </c>
      <c r="AL208" s="20"/>
      <c r="AM208" s="20"/>
      <c r="AN208" s="20"/>
      <c r="AO208" s="20"/>
      <c r="AP208" s="20" t="s">
        <v>1938</v>
      </c>
      <c r="AQ208" s="20" t="s">
        <v>1839</v>
      </c>
      <c r="AR208" s="97" t="s">
        <v>1838</v>
      </c>
    </row>
    <row r="209" spans="1:44" s="20" customFormat="1" x14ac:dyDescent="0.25">
      <c r="B209" s="141"/>
      <c r="C209" s="105"/>
      <c r="D209" s="35"/>
      <c r="E209" s="36"/>
      <c r="F209" s="35"/>
      <c r="G209" s="35"/>
      <c r="H209" s="404"/>
      <c r="I209" s="404"/>
      <c r="J209" s="404"/>
      <c r="K209" s="404"/>
      <c r="L209" s="38"/>
      <c r="M209" s="38"/>
      <c r="N209" s="7"/>
      <c r="O209" s="37"/>
      <c r="P209" s="228"/>
      <c r="Q209" s="35"/>
      <c r="R209" s="35"/>
      <c r="S209" s="35"/>
      <c r="T209" s="72"/>
      <c r="U209" s="46"/>
      <c r="V209" s="35"/>
      <c r="W209" s="35"/>
      <c r="X209" s="72"/>
      <c r="Y209" s="46"/>
      <c r="Z209" s="35"/>
      <c r="AA209" s="35"/>
      <c r="AB209" s="72"/>
      <c r="AC209" s="46"/>
      <c r="AD209" s="35"/>
      <c r="AE209" s="35"/>
      <c r="AF209" s="72"/>
      <c r="AG209" s="46"/>
      <c r="AQ209" s="65"/>
    </row>
    <row r="210" spans="1:44" s="104" customFormat="1" ht="15.6" x14ac:dyDescent="0.3">
      <c r="A210" s="400" t="s">
        <v>812</v>
      </c>
      <c r="B210" s="400"/>
      <c r="C210" s="400"/>
      <c r="D210" s="35" t="s">
        <v>128</v>
      </c>
      <c r="E210" s="248"/>
      <c r="F210" s="247"/>
      <c r="G210" s="247"/>
      <c r="H210" s="249"/>
      <c r="I210" s="249"/>
      <c r="J210" s="249"/>
      <c r="K210" s="249"/>
      <c r="L210" s="249"/>
      <c r="M210" s="249"/>
      <c r="N210" s="250"/>
      <c r="O210" s="251"/>
      <c r="P210" s="277"/>
      <c r="Q210" s="247"/>
      <c r="R210" s="247"/>
      <c r="S210" s="247"/>
      <c r="T210" s="253"/>
      <c r="U210" s="252"/>
      <c r="V210" s="247"/>
      <c r="W210" s="247"/>
      <c r="X210" s="253"/>
      <c r="Y210" s="252"/>
      <c r="Z210" s="247"/>
      <c r="AA210" s="247"/>
      <c r="AB210" s="253"/>
      <c r="AC210" s="252"/>
      <c r="AD210" s="247"/>
      <c r="AE210" s="247"/>
      <c r="AF210" s="253"/>
      <c r="AG210" s="252"/>
      <c r="AP210" s="254"/>
      <c r="AQ210" s="255"/>
    </row>
    <row r="211" spans="1:44" s="16" customFormat="1" ht="13.8" x14ac:dyDescent="0.3">
      <c r="A211" s="16" t="s">
        <v>121</v>
      </c>
      <c r="B211" s="143"/>
      <c r="C211" s="35" t="s">
        <v>805</v>
      </c>
      <c r="D211" s="17" t="s">
        <v>806</v>
      </c>
      <c r="E211" s="18" t="s">
        <v>1403</v>
      </c>
      <c r="F211" s="17" t="s">
        <v>791</v>
      </c>
      <c r="G211" s="17" t="s">
        <v>1518</v>
      </c>
      <c r="H211" s="29" t="s">
        <v>807</v>
      </c>
      <c r="I211" s="80" t="s">
        <v>66</v>
      </c>
      <c r="J211" s="38" t="s">
        <v>1780</v>
      </c>
      <c r="K211" s="38" t="s">
        <v>1781</v>
      </c>
      <c r="L211" s="29" t="s">
        <v>148</v>
      </c>
      <c r="M211" s="29" t="s">
        <v>327</v>
      </c>
      <c r="N211" s="6">
        <v>34.99</v>
      </c>
      <c r="O211" s="37">
        <v>1</v>
      </c>
      <c r="P211" s="228">
        <v>12</v>
      </c>
      <c r="Q211" s="46">
        <f>CONVERT(262,"g","lbm")</f>
        <v>0.57761112692437921</v>
      </c>
      <c r="R211" s="35" t="s">
        <v>66</v>
      </c>
      <c r="S211" s="35" t="s">
        <v>66</v>
      </c>
      <c r="T211" s="227" t="s">
        <v>66</v>
      </c>
      <c r="U211" s="46">
        <f>CONVERT(330,"g","lbm")</f>
        <v>0.72752546521009598</v>
      </c>
      <c r="V211" s="35">
        <v>6.125</v>
      </c>
      <c r="W211" s="35">
        <v>3.5</v>
      </c>
      <c r="X211" s="72">
        <v>11.375</v>
      </c>
      <c r="Y211" s="46" t="s">
        <v>66</v>
      </c>
      <c r="Z211" s="35" t="s">
        <v>66</v>
      </c>
      <c r="AA211" s="35" t="s">
        <v>66</v>
      </c>
      <c r="AB211" s="72" t="s">
        <v>66</v>
      </c>
      <c r="AC211" s="46">
        <f>CONVERT(4470,"g","lbm")</f>
        <v>9.8546631196640266</v>
      </c>
      <c r="AD211" s="35">
        <v>31</v>
      </c>
      <c r="AE211" s="35">
        <v>12.625</v>
      </c>
      <c r="AF211" s="72">
        <v>7.75</v>
      </c>
      <c r="AG211" s="46">
        <f>AD211*AE211*AF211/(12^3)</f>
        <v>1.755298755787037</v>
      </c>
      <c r="AH211" s="20" t="s">
        <v>1941</v>
      </c>
      <c r="AI211" s="20" t="s">
        <v>1942</v>
      </c>
      <c r="AJ211" s="16" t="s">
        <v>427</v>
      </c>
      <c r="AK211" s="20" t="s">
        <v>1943</v>
      </c>
      <c r="AL211" s="20"/>
      <c r="AM211" s="20"/>
      <c r="AN211" s="20"/>
      <c r="AO211" s="20"/>
      <c r="AP211" s="246" t="s">
        <v>1944</v>
      </c>
      <c r="AQ211" s="20" t="s">
        <v>1839</v>
      </c>
      <c r="AR211" s="97" t="s">
        <v>1838</v>
      </c>
    </row>
    <row r="212" spans="1:44" s="16" customFormat="1" ht="13.8" x14ac:dyDescent="0.3">
      <c r="A212" s="16" t="s">
        <v>121</v>
      </c>
      <c r="B212" s="143"/>
      <c r="C212" s="35" t="s">
        <v>805</v>
      </c>
      <c r="D212" s="17" t="s">
        <v>788</v>
      </c>
      <c r="E212" s="18" t="s">
        <v>1403</v>
      </c>
      <c r="F212" s="17" t="s">
        <v>1756</v>
      </c>
      <c r="G212" s="17" t="s">
        <v>1518</v>
      </c>
      <c r="H212" s="29" t="s">
        <v>808</v>
      </c>
      <c r="I212" s="80" t="s">
        <v>66</v>
      </c>
      <c r="J212" s="38" t="s">
        <v>1782</v>
      </c>
      <c r="K212" s="38" t="s">
        <v>1783</v>
      </c>
      <c r="L212" s="29" t="s">
        <v>148</v>
      </c>
      <c r="M212" s="29" t="s">
        <v>327</v>
      </c>
      <c r="N212" s="6">
        <v>34.99</v>
      </c>
      <c r="O212" s="37">
        <v>1</v>
      </c>
      <c r="P212" s="228">
        <v>12</v>
      </c>
      <c r="Q212" s="46">
        <f>CONVERT(262,"g","lbm")</f>
        <v>0.57761112692437921</v>
      </c>
      <c r="R212" s="35" t="s">
        <v>66</v>
      </c>
      <c r="S212" s="35" t="s">
        <v>66</v>
      </c>
      <c r="T212" s="227" t="s">
        <v>66</v>
      </c>
      <c r="U212" s="46">
        <f>CONVERT(330,"g","lbm")</f>
        <v>0.72752546521009598</v>
      </c>
      <c r="V212" s="35">
        <v>6.125</v>
      </c>
      <c r="W212" s="35">
        <v>3.5</v>
      </c>
      <c r="X212" s="72">
        <v>11.375</v>
      </c>
      <c r="Y212" s="46" t="s">
        <v>66</v>
      </c>
      <c r="Z212" s="35" t="s">
        <v>66</v>
      </c>
      <c r="AA212" s="35" t="s">
        <v>66</v>
      </c>
      <c r="AB212" s="72" t="s">
        <v>66</v>
      </c>
      <c r="AC212" s="46">
        <f>CONVERT(4470,"g","lbm")</f>
        <v>9.8546631196640266</v>
      </c>
      <c r="AD212" s="35">
        <v>31</v>
      </c>
      <c r="AE212" s="35">
        <v>12.625</v>
      </c>
      <c r="AF212" s="72">
        <v>7.75</v>
      </c>
      <c r="AG212" s="46">
        <f>AD212*AE212*AF212/(12^3)</f>
        <v>1.755298755787037</v>
      </c>
      <c r="AH212" s="20" t="s">
        <v>1941</v>
      </c>
      <c r="AI212" s="20" t="s">
        <v>1942</v>
      </c>
      <c r="AJ212" s="16" t="s">
        <v>427</v>
      </c>
      <c r="AK212" s="20" t="s">
        <v>1943</v>
      </c>
      <c r="AL212" s="20"/>
      <c r="AM212" s="20"/>
      <c r="AN212" s="20"/>
      <c r="AO212" s="20"/>
      <c r="AP212" s="246" t="s">
        <v>1944</v>
      </c>
      <c r="AQ212" s="20" t="s">
        <v>1839</v>
      </c>
      <c r="AR212" s="97" t="s">
        <v>1838</v>
      </c>
    </row>
    <row r="213" spans="1:44" s="16" customFormat="1" ht="13.8" x14ac:dyDescent="0.3">
      <c r="A213" s="16" t="s">
        <v>121</v>
      </c>
      <c r="B213" s="143"/>
      <c r="C213" s="35" t="s">
        <v>805</v>
      </c>
      <c r="D213" s="17" t="s">
        <v>811</v>
      </c>
      <c r="E213" s="18" t="s">
        <v>1403</v>
      </c>
      <c r="F213" s="17" t="s">
        <v>815</v>
      </c>
      <c r="G213" s="17" t="s">
        <v>1518</v>
      </c>
      <c r="H213" s="29" t="s">
        <v>809</v>
      </c>
      <c r="I213" s="80" t="s">
        <v>66</v>
      </c>
      <c r="J213" s="38" t="s">
        <v>1784</v>
      </c>
      <c r="K213" s="38" t="s">
        <v>1785</v>
      </c>
      <c r="L213" s="29" t="s">
        <v>148</v>
      </c>
      <c r="M213" s="29" t="s">
        <v>327</v>
      </c>
      <c r="N213" s="6">
        <v>34.99</v>
      </c>
      <c r="O213" s="37">
        <v>1</v>
      </c>
      <c r="P213" s="228">
        <v>12</v>
      </c>
      <c r="Q213" s="46">
        <f>CONVERT(262,"g","lbm")</f>
        <v>0.57761112692437921</v>
      </c>
      <c r="R213" s="35" t="s">
        <v>66</v>
      </c>
      <c r="S213" s="35" t="s">
        <v>66</v>
      </c>
      <c r="T213" s="227" t="s">
        <v>66</v>
      </c>
      <c r="U213" s="46">
        <f>CONVERT(330,"g","lbm")</f>
        <v>0.72752546521009598</v>
      </c>
      <c r="V213" s="35">
        <v>6.125</v>
      </c>
      <c r="W213" s="35">
        <v>3.5</v>
      </c>
      <c r="X213" s="72">
        <v>11.375</v>
      </c>
      <c r="Y213" s="46" t="s">
        <v>66</v>
      </c>
      <c r="Z213" s="35" t="s">
        <v>66</v>
      </c>
      <c r="AA213" s="35" t="s">
        <v>66</v>
      </c>
      <c r="AB213" s="72" t="s">
        <v>66</v>
      </c>
      <c r="AC213" s="46">
        <f>CONVERT(4470,"g","lbm")</f>
        <v>9.8546631196640266</v>
      </c>
      <c r="AD213" s="35">
        <v>31</v>
      </c>
      <c r="AE213" s="35">
        <v>12.625</v>
      </c>
      <c r="AF213" s="72">
        <v>7.75</v>
      </c>
      <c r="AG213" s="46">
        <f>AD213*AE213*AF213/(12^3)</f>
        <v>1.755298755787037</v>
      </c>
      <c r="AH213" s="20" t="s">
        <v>1941</v>
      </c>
      <c r="AI213" s="20" t="s">
        <v>1942</v>
      </c>
      <c r="AJ213" s="16" t="s">
        <v>427</v>
      </c>
      <c r="AK213" s="20" t="s">
        <v>1943</v>
      </c>
      <c r="AL213" s="20"/>
      <c r="AM213" s="20"/>
      <c r="AN213" s="20"/>
      <c r="AO213" s="20"/>
      <c r="AP213" s="246" t="s">
        <v>1944</v>
      </c>
      <c r="AQ213" s="20" t="s">
        <v>1839</v>
      </c>
      <c r="AR213" s="97" t="s">
        <v>1838</v>
      </c>
    </row>
    <row r="214" spans="1:44" s="16" customFormat="1" ht="13.8" x14ac:dyDescent="0.3">
      <c r="A214" s="16" t="s">
        <v>121</v>
      </c>
      <c r="B214" s="143"/>
      <c r="C214" s="35" t="s">
        <v>805</v>
      </c>
      <c r="D214" s="17" t="s">
        <v>786</v>
      </c>
      <c r="E214" s="18" t="s">
        <v>1403</v>
      </c>
      <c r="F214" s="35" t="s">
        <v>1722</v>
      </c>
      <c r="G214" s="17" t="s">
        <v>1518</v>
      </c>
      <c r="H214" s="29" t="s">
        <v>810</v>
      </c>
      <c r="I214" s="80" t="s">
        <v>66</v>
      </c>
      <c r="J214" s="447" t="s">
        <v>1828</v>
      </c>
      <c r="K214" s="38" t="s">
        <v>1786</v>
      </c>
      <c r="L214" s="29" t="s">
        <v>148</v>
      </c>
      <c r="M214" s="29" t="s">
        <v>327</v>
      </c>
      <c r="N214" s="6">
        <v>34.99</v>
      </c>
      <c r="O214" s="37">
        <v>1</v>
      </c>
      <c r="P214" s="228">
        <v>12</v>
      </c>
      <c r="Q214" s="46">
        <f>CONVERT(262,"g","lbm")</f>
        <v>0.57761112692437921</v>
      </c>
      <c r="R214" s="35" t="s">
        <v>66</v>
      </c>
      <c r="S214" s="35" t="s">
        <v>66</v>
      </c>
      <c r="T214" s="227" t="s">
        <v>66</v>
      </c>
      <c r="U214" s="46">
        <f>CONVERT(330,"g","lbm")</f>
        <v>0.72752546521009598</v>
      </c>
      <c r="V214" s="35">
        <v>6.125</v>
      </c>
      <c r="W214" s="35">
        <v>3.5</v>
      </c>
      <c r="X214" s="72">
        <v>11.375</v>
      </c>
      <c r="Y214" s="46" t="s">
        <v>66</v>
      </c>
      <c r="Z214" s="35" t="s">
        <v>66</v>
      </c>
      <c r="AA214" s="35" t="s">
        <v>66</v>
      </c>
      <c r="AB214" s="72" t="s">
        <v>66</v>
      </c>
      <c r="AC214" s="46">
        <f>CONVERT(4470,"g","lbm")</f>
        <v>9.8546631196640266</v>
      </c>
      <c r="AD214" s="35">
        <v>31</v>
      </c>
      <c r="AE214" s="35">
        <v>12.625</v>
      </c>
      <c r="AF214" s="72">
        <v>7.75</v>
      </c>
      <c r="AG214" s="46">
        <f>AD214*AE214*AF214/(12^3)</f>
        <v>1.755298755787037</v>
      </c>
      <c r="AH214" s="20" t="s">
        <v>1941</v>
      </c>
      <c r="AI214" s="20" t="s">
        <v>1942</v>
      </c>
      <c r="AJ214" s="16" t="s">
        <v>427</v>
      </c>
      <c r="AK214" s="20" t="s">
        <v>1943</v>
      </c>
      <c r="AL214" s="20"/>
      <c r="AM214" s="20"/>
      <c r="AN214" s="20"/>
      <c r="AO214" s="20"/>
      <c r="AP214" s="246" t="s">
        <v>1944</v>
      </c>
      <c r="AQ214" s="20" t="s">
        <v>1839</v>
      </c>
      <c r="AR214" s="97" t="s">
        <v>1838</v>
      </c>
    </row>
    <row r="215" spans="1:44" s="20" customFormat="1" x14ac:dyDescent="0.25">
      <c r="B215" s="141"/>
      <c r="C215" s="35"/>
      <c r="D215" s="35"/>
      <c r="E215" s="36"/>
      <c r="F215" s="35"/>
      <c r="G215" s="35"/>
      <c r="H215" s="38"/>
      <c r="I215" s="38"/>
      <c r="J215" s="38"/>
      <c r="K215" s="38"/>
      <c r="L215" s="38"/>
      <c r="M215" s="38"/>
      <c r="N215" s="7"/>
      <c r="O215" s="37"/>
      <c r="P215" s="228"/>
      <c r="Q215" s="35"/>
      <c r="R215" s="35"/>
      <c r="S215" s="35"/>
      <c r="T215" s="72"/>
      <c r="U215" s="46"/>
      <c r="V215" s="35"/>
      <c r="W215" s="35"/>
      <c r="X215" s="72"/>
      <c r="Y215" s="46"/>
      <c r="Z215" s="35"/>
      <c r="AA215" s="35"/>
      <c r="AB215" s="72"/>
      <c r="AC215" s="46"/>
      <c r="AD215" s="35"/>
      <c r="AE215" s="35"/>
      <c r="AF215" s="72"/>
      <c r="AG215" s="46"/>
      <c r="AP215" s="246"/>
      <c r="AQ215" s="65"/>
    </row>
    <row r="216" spans="1:44" s="104" customFormat="1" ht="15.6" x14ac:dyDescent="0.3">
      <c r="A216" s="108" t="s">
        <v>1955</v>
      </c>
      <c r="B216" s="370"/>
      <c r="C216" s="308"/>
      <c r="D216" s="35" t="s">
        <v>128</v>
      </c>
      <c r="E216" s="248"/>
      <c r="F216" s="247"/>
      <c r="G216" s="35"/>
      <c r="H216" s="256"/>
      <c r="I216" s="256"/>
      <c r="J216" s="256"/>
      <c r="K216" s="256"/>
      <c r="L216" s="249"/>
      <c r="M216" s="249"/>
      <c r="N216" s="250"/>
      <c r="O216" s="251"/>
      <c r="P216" s="277"/>
      <c r="Q216" s="247"/>
      <c r="R216" s="247"/>
      <c r="S216" s="247"/>
      <c r="T216" s="253"/>
      <c r="U216" s="252"/>
      <c r="V216" s="247"/>
      <c r="W216" s="247"/>
      <c r="X216" s="253"/>
      <c r="Y216" s="252"/>
      <c r="Z216" s="247"/>
      <c r="AA216" s="247"/>
      <c r="AB216" s="253"/>
      <c r="AC216" s="252"/>
      <c r="AD216" s="247"/>
      <c r="AE216" s="247"/>
      <c r="AF216" s="253"/>
      <c r="AG216" s="252"/>
      <c r="AP216" s="254"/>
      <c r="AQ216" s="255"/>
    </row>
    <row r="217" spans="1:44" s="16" customFormat="1" ht="13.8" x14ac:dyDescent="0.3">
      <c r="A217" s="16" t="s">
        <v>121</v>
      </c>
      <c r="B217" s="143"/>
      <c r="C217" s="105" t="s">
        <v>873</v>
      </c>
      <c r="D217" s="17" t="s">
        <v>1770</v>
      </c>
      <c r="E217" s="16" t="s">
        <v>1405</v>
      </c>
      <c r="F217" s="17" t="s">
        <v>1787</v>
      </c>
      <c r="G217" s="17" t="s">
        <v>1796</v>
      </c>
      <c r="H217" s="71">
        <v>7331423008810</v>
      </c>
      <c r="I217" s="404">
        <v>7331423100668</v>
      </c>
      <c r="J217" s="404">
        <v>7331423200894</v>
      </c>
      <c r="K217" s="404">
        <v>17331423200891</v>
      </c>
      <c r="L217" s="29" t="s">
        <v>148</v>
      </c>
      <c r="M217" s="29" t="s">
        <v>327</v>
      </c>
      <c r="N217" s="6">
        <v>9.99</v>
      </c>
      <c r="O217" s="37">
        <v>6</v>
      </c>
      <c r="P217" s="228">
        <v>36</v>
      </c>
      <c r="Q217" s="35">
        <f>CONVERT(134,"g","lbm")</f>
        <v>0.29541943132773596</v>
      </c>
      <c r="R217" s="35">
        <v>5.9</v>
      </c>
      <c r="S217" s="35">
        <v>6.3</v>
      </c>
      <c r="T217" s="72">
        <v>0.5</v>
      </c>
      <c r="U217" s="46">
        <v>0.3</v>
      </c>
      <c r="V217" s="35">
        <v>6.25</v>
      </c>
      <c r="W217" s="35">
        <v>0.625</v>
      </c>
      <c r="X217" s="72">
        <v>9.125</v>
      </c>
      <c r="Y217" s="46">
        <v>1.9</v>
      </c>
      <c r="Z217" s="35">
        <v>8.5</v>
      </c>
      <c r="AA217" s="35">
        <v>3.125</v>
      </c>
      <c r="AB217" s="72">
        <v>6.75</v>
      </c>
      <c r="AC217" s="46">
        <v>12.05</v>
      </c>
      <c r="AD217" s="35">
        <v>16.125</v>
      </c>
      <c r="AE217" s="35">
        <v>10</v>
      </c>
      <c r="AF217" s="72">
        <v>6.75</v>
      </c>
      <c r="AG217" s="46">
        <f>AD217*AE217*AF217/(12^3)</f>
        <v>0.6298828125</v>
      </c>
      <c r="AH217" s="16" t="s">
        <v>1954</v>
      </c>
      <c r="AI217" s="20" t="s">
        <v>872</v>
      </c>
      <c r="AJ217" s="20" t="s">
        <v>1946</v>
      </c>
      <c r="AK217" s="20" t="s">
        <v>1949</v>
      </c>
      <c r="AL217" s="20" t="s">
        <v>680</v>
      </c>
      <c r="AM217" s="16" t="s">
        <v>1952</v>
      </c>
      <c r="AN217" s="20" t="s">
        <v>1950</v>
      </c>
      <c r="AO217" s="20"/>
      <c r="AP217" s="246" t="s">
        <v>1951</v>
      </c>
      <c r="AQ217" s="20" t="s">
        <v>1839</v>
      </c>
      <c r="AR217" s="97" t="s">
        <v>1838</v>
      </c>
    </row>
    <row r="218" spans="1:44" s="16" customFormat="1" ht="13.8" x14ac:dyDescent="0.3">
      <c r="A218" s="16" t="s">
        <v>121</v>
      </c>
      <c r="B218" s="143"/>
      <c r="C218" s="105" t="s">
        <v>873</v>
      </c>
      <c r="D218" s="17" t="s">
        <v>1619</v>
      </c>
      <c r="E218" s="16" t="s">
        <v>1405</v>
      </c>
      <c r="F218" s="17" t="s">
        <v>1788</v>
      </c>
      <c r="G218" s="17" t="s">
        <v>1796</v>
      </c>
      <c r="H218" s="117">
        <v>7331423008827</v>
      </c>
      <c r="I218" s="118">
        <v>7331423100675</v>
      </c>
      <c r="J218" s="118">
        <v>7331423200900</v>
      </c>
      <c r="K218" s="118">
        <v>17331423200907</v>
      </c>
      <c r="L218" s="29" t="s">
        <v>148</v>
      </c>
      <c r="M218" s="29" t="s">
        <v>327</v>
      </c>
      <c r="N218" s="6">
        <v>9.99</v>
      </c>
      <c r="O218" s="37">
        <v>6</v>
      </c>
      <c r="P218" s="228">
        <v>36</v>
      </c>
      <c r="Q218" s="35">
        <f>CONVERT(134,"g","lbm")</f>
        <v>0.29541943132773596</v>
      </c>
      <c r="R218" s="35">
        <v>5.9</v>
      </c>
      <c r="S218" s="35">
        <v>6.3</v>
      </c>
      <c r="T218" s="72">
        <v>0.5</v>
      </c>
      <c r="U218" s="46">
        <v>0.3</v>
      </c>
      <c r="V218" s="35">
        <v>6.25</v>
      </c>
      <c r="W218" s="35">
        <v>0.625</v>
      </c>
      <c r="X218" s="72">
        <v>9.125</v>
      </c>
      <c r="Y218" s="46">
        <v>1.9</v>
      </c>
      <c r="Z218" s="35">
        <v>8.5</v>
      </c>
      <c r="AA218" s="35">
        <v>3.125</v>
      </c>
      <c r="AB218" s="72">
        <v>6.75</v>
      </c>
      <c r="AC218" s="46">
        <v>12.05</v>
      </c>
      <c r="AD218" s="35">
        <v>16.125</v>
      </c>
      <c r="AE218" s="35">
        <v>10</v>
      </c>
      <c r="AF218" s="72">
        <v>6.75</v>
      </c>
      <c r="AG218" s="46">
        <f>AD218*AE218*AF218/(12^3)</f>
        <v>0.6298828125</v>
      </c>
      <c r="AH218" s="16" t="s">
        <v>1954</v>
      </c>
      <c r="AI218" s="20" t="s">
        <v>872</v>
      </c>
      <c r="AJ218" s="20" t="s">
        <v>1946</v>
      </c>
      <c r="AK218" s="20" t="s">
        <v>1949</v>
      </c>
      <c r="AL218" s="20" t="s">
        <v>680</v>
      </c>
      <c r="AM218" s="16" t="s">
        <v>1952</v>
      </c>
      <c r="AN218" s="20" t="s">
        <v>1950</v>
      </c>
      <c r="AO218" s="20"/>
      <c r="AP218" s="246" t="s">
        <v>1951</v>
      </c>
      <c r="AQ218" s="20" t="s">
        <v>1839</v>
      </c>
      <c r="AR218" s="97" t="s">
        <v>1838</v>
      </c>
    </row>
    <row r="219" spans="1:44" s="16" customFormat="1" ht="13.8" x14ac:dyDescent="0.3">
      <c r="A219" s="16" t="s">
        <v>121</v>
      </c>
      <c r="B219" s="142" t="s">
        <v>3148</v>
      </c>
      <c r="C219" s="105" t="s">
        <v>3147</v>
      </c>
      <c r="D219" s="17"/>
      <c r="E219" t="s">
        <v>3165</v>
      </c>
      <c r="F219" s="17" t="s">
        <v>881</v>
      </c>
      <c r="G219" s="17"/>
      <c r="H219" s="117">
        <v>7331423010226</v>
      </c>
      <c r="I219" s="118"/>
      <c r="J219" s="118"/>
      <c r="K219" s="118"/>
      <c r="L219" s="29" t="s">
        <v>148</v>
      </c>
      <c r="M219" s="29" t="s">
        <v>327</v>
      </c>
      <c r="N219" s="6">
        <v>4.99</v>
      </c>
      <c r="O219" s="37">
        <v>6</v>
      </c>
      <c r="P219" s="228">
        <v>36</v>
      </c>
      <c r="Q219" s="35">
        <v>0.1</v>
      </c>
      <c r="R219" s="35">
        <v>5.9</v>
      </c>
      <c r="S219" s="35">
        <v>6.3</v>
      </c>
      <c r="T219" s="72">
        <v>0.12</v>
      </c>
      <c r="U219" s="46">
        <v>0.12</v>
      </c>
      <c r="V219" s="35">
        <v>6.9</v>
      </c>
      <c r="W219" s="35">
        <v>6.6</v>
      </c>
      <c r="X219" s="72">
        <v>0.16</v>
      </c>
      <c r="Y219" s="134"/>
      <c r="Z219" s="135"/>
      <c r="AA219" s="135"/>
      <c r="AB219" s="136"/>
      <c r="AC219" s="134"/>
      <c r="AD219" s="135"/>
      <c r="AE219" s="135"/>
      <c r="AF219" s="136"/>
      <c r="AG219" s="134"/>
      <c r="AH219" t="s">
        <v>3170</v>
      </c>
      <c r="AI219" t="s">
        <v>3171</v>
      </c>
      <c r="AJ219" t="s">
        <v>3172</v>
      </c>
      <c r="AK219" t="s">
        <v>3173</v>
      </c>
      <c r="AL219" t="s">
        <v>3174</v>
      </c>
      <c r="AM219"/>
      <c r="AN219" s="20"/>
      <c r="AO219" s="20"/>
      <c r="AP219" s="640" t="s">
        <v>3175</v>
      </c>
      <c r="AQ219" s="20" t="s">
        <v>1839</v>
      </c>
      <c r="AR219" s="97" t="s">
        <v>1838</v>
      </c>
    </row>
    <row r="220" spans="1:44" s="16" customFormat="1" ht="13.8" x14ac:dyDescent="0.3">
      <c r="A220" s="16" t="s">
        <v>121</v>
      </c>
      <c r="B220" s="142" t="s">
        <v>3148</v>
      </c>
      <c r="C220" s="105" t="s">
        <v>3147</v>
      </c>
      <c r="D220" s="17"/>
      <c r="E220" t="s">
        <v>3166</v>
      </c>
      <c r="F220" s="17" t="s">
        <v>882</v>
      </c>
      <c r="G220" s="17"/>
      <c r="H220" s="117">
        <v>7331423010233</v>
      </c>
      <c r="I220" s="118"/>
      <c r="J220" s="118"/>
      <c r="K220" s="118"/>
      <c r="L220" s="29" t="s">
        <v>148</v>
      </c>
      <c r="M220" s="29" t="s">
        <v>327</v>
      </c>
      <c r="N220" s="6">
        <v>4.99</v>
      </c>
      <c r="O220" s="37">
        <v>6</v>
      </c>
      <c r="P220" s="228">
        <v>36</v>
      </c>
      <c r="Q220" s="35">
        <v>0.1</v>
      </c>
      <c r="R220" s="35">
        <v>5.9</v>
      </c>
      <c r="S220" s="35">
        <v>6.3</v>
      </c>
      <c r="T220" s="72">
        <v>0.12</v>
      </c>
      <c r="U220" s="46">
        <v>0.12</v>
      </c>
      <c r="V220" s="35">
        <v>6.9</v>
      </c>
      <c r="W220" s="35">
        <v>6.6</v>
      </c>
      <c r="X220" s="72">
        <v>0.16</v>
      </c>
      <c r="Y220" s="134"/>
      <c r="Z220" s="135"/>
      <c r="AA220" s="135"/>
      <c r="AB220" s="136"/>
      <c r="AC220" s="134"/>
      <c r="AD220" s="135"/>
      <c r="AE220" s="135"/>
      <c r="AF220" s="136"/>
      <c r="AG220" s="134"/>
      <c r="AH220" t="s">
        <v>3170</v>
      </c>
      <c r="AI220" t="s">
        <v>3171</v>
      </c>
      <c r="AJ220" t="s">
        <v>3172</v>
      </c>
      <c r="AK220" t="s">
        <v>3173</v>
      </c>
      <c r="AL220" t="s">
        <v>3174</v>
      </c>
      <c r="AN220" s="20"/>
      <c r="AO220" s="20"/>
      <c r="AP220" s="640" t="s">
        <v>3175</v>
      </c>
      <c r="AQ220" s="20" t="s">
        <v>1839</v>
      </c>
      <c r="AR220" s="97" t="s">
        <v>1838</v>
      </c>
    </row>
    <row r="221" spans="1:44" s="16" customFormat="1" ht="13.8" x14ac:dyDescent="0.3">
      <c r="A221" s="16" t="s">
        <v>121</v>
      </c>
      <c r="B221" s="142" t="s">
        <v>3148</v>
      </c>
      <c r="C221" s="105" t="s">
        <v>3147</v>
      </c>
      <c r="D221" s="17"/>
      <c r="E221" t="s">
        <v>3167</v>
      </c>
      <c r="F221" s="17" t="s">
        <v>349</v>
      </c>
      <c r="G221" s="17"/>
      <c r="H221" s="117">
        <v>7331423010240</v>
      </c>
      <c r="I221" s="118"/>
      <c r="J221" s="118"/>
      <c r="K221" s="118"/>
      <c r="L221" s="29" t="s">
        <v>148</v>
      </c>
      <c r="M221" s="29" t="s">
        <v>327</v>
      </c>
      <c r="N221" s="6">
        <v>4.99</v>
      </c>
      <c r="O221" s="37">
        <v>6</v>
      </c>
      <c r="P221" s="228">
        <v>36</v>
      </c>
      <c r="Q221" s="35">
        <v>0.1</v>
      </c>
      <c r="R221" s="35">
        <v>5.9</v>
      </c>
      <c r="S221" s="35">
        <v>6.3</v>
      </c>
      <c r="T221" s="72">
        <v>0.12</v>
      </c>
      <c r="U221" s="46">
        <v>0.12</v>
      </c>
      <c r="V221" s="35">
        <v>6.9</v>
      </c>
      <c r="W221" s="35">
        <v>6.6</v>
      </c>
      <c r="X221" s="72">
        <v>0.16</v>
      </c>
      <c r="Y221" s="134"/>
      <c r="Z221" s="135"/>
      <c r="AA221" s="135"/>
      <c r="AB221" s="136"/>
      <c r="AC221" s="134"/>
      <c r="AD221" s="135"/>
      <c r="AE221" s="135"/>
      <c r="AF221" s="136"/>
      <c r="AG221" s="134"/>
      <c r="AH221" t="s">
        <v>3170</v>
      </c>
      <c r="AI221" t="s">
        <v>3171</v>
      </c>
      <c r="AJ221" t="s">
        <v>3172</v>
      </c>
      <c r="AK221" t="s">
        <v>3173</v>
      </c>
      <c r="AL221" t="s">
        <v>3174</v>
      </c>
      <c r="AN221" s="20"/>
      <c r="AO221" s="20"/>
      <c r="AP221" s="640" t="s">
        <v>3175</v>
      </c>
      <c r="AQ221" s="20" t="s">
        <v>1839</v>
      </c>
      <c r="AR221" s="97" t="s">
        <v>1838</v>
      </c>
    </row>
    <row r="222" spans="1:44" s="16" customFormat="1" ht="13.8" x14ac:dyDescent="0.3">
      <c r="A222" s="16" t="s">
        <v>121</v>
      </c>
      <c r="B222" s="142" t="s">
        <v>3148</v>
      </c>
      <c r="C222" s="105" t="s">
        <v>3147</v>
      </c>
      <c r="D222" s="17"/>
      <c r="E222" t="s">
        <v>3168</v>
      </c>
      <c r="F222" s="17" t="s">
        <v>50</v>
      </c>
      <c r="G222" s="17"/>
      <c r="H222" s="117">
        <v>7331423010257</v>
      </c>
      <c r="I222" s="118"/>
      <c r="J222" s="118"/>
      <c r="K222" s="118"/>
      <c r="L222" s="29" t="s">
        <v>148</v>
      </c>
      <c r="M222" s="29" t="s">
        <v>327</v>
      </c>
      <c r="N222" s="6">
        <v>4.99</v>
      </c>
      <c r="O222" s="37">
        <v>6</v>
      </c>
      <c r="P222" s="228">
        <v>36</v>
      </c>
      <c r="Q222" s="35">
        <v>0.1</v>
      </c>
      <c r="R222" s="35">
        <v>5.9</v>
      </c>
      <c r="S222" s="35">
        <v>6.3</v>
      </c>
      <c r="T222" s="72">
        <v>0.12</v>
      </c>
      <c r="U222" s="46">
        <v>0.12</v>
      </c>
      <c r="V222" s="35">
        <v>6.9</v>
      </c>
      <c r="W222" s="35">
        <v>6.6</v>
      </c>
      <c r="X222" s="72">
        <v>0.16</v>
      </c>
      <c r="Y222" s="134"/>
      <c r="Z222" s="135"/>
      <c r="AA222" s="135"/>
      <c r="AB222" s="136"/>
      <c r="AC222" s="134"/>
      <c r="AD222" s="135"/>
      <c r="AE222" s="135"/>
      <c r="AF222" s="136"/>
      <c r="AG222" s="134"/>
      <c r="AH222" t="s">
        <v>3170</v>
      </c>
      <c r="AI222" t="s">
        <v>3171</v>
      </c>
      <c r="AJ222" t="s">
        <v>3172</v>
      </c>
      <c r="AK222" t="s">
        <v>3173</v>
      </c>
      <c r="AL222" t="s">
        <v>3174</v>
      </c>
      <c r="AN222" s="20"/>
      <c r="AO222" s="20"/>
      <c r="AP222" s="640" t="s">
        <v>3175</v>
      </c>
      <c r="AQ222" s="20" t="s">
        <v>1839</v>
      </c>
      <c r="AR222" s="97" t="s">
        <v>1838</v>
      </c>
    </row>
    <row r="223" spans="1:44" s="16" customFormat="1" ht="13.8" x14ac:dyDescent="0.3">
      <c r="A223" s="16" t="s">
        <v>121</v>
      </c>
      <c r="B223" s="142" t="s">
        <v>3148</v>
      </c>
      <c r="C223" s="105" t="s">
        <v>3147</v>
      </c>
      <c r="D223" s="17"/>
      <c r="E223" t="s">
        <v>3169</v>
      </c>
      <c r="F223" s="17" t="s">
        <v>534</v>
      </c>
      <c r="G223" s="17"/>
      <c r="H223" s="117">
        <v>7331423010264</v>
      </c>
      <c r="I223" s="118"/>
      <c r="J223" s="118"/>
      <c r="K223" s="118"/>
      <c r="L223" s="29" t="s">
        <v>148</v>
      </c>
      <c r="M223" s="29" t="s">
        <v>327</v>
      </c>
      <c r="N223" s="6">
        <v>4.99</v>
      </c>
      <c r="O223" s="37">
        <v>6</v>
      </c>
      <c r="P223" s="228">
        <v>36</v>
      </c>
      <c r="Q223" s="35">
        <v>0.1</v>
      </c>
      <c r="R223" s="35">
        <v>5.9</v>
      </c>
      <c r="S223" s="35">
        <v>6.3</v>
      </c>
      <c r="T223" s="72">
        <v>0.12</v>
      </c>
      <c r="U223" s="46">
        <v>0.12</v>
      </c>
      <c r="V223" s="35">
        <v>6.9</v>
      </c>
      <c r="W223" s="35">
        <v>6.6</v>
      </c>
      <c r="X223" s="72">
        <v>0.16</v>
      </c>
      <c r="Y223" s="134"/>
      <c r="Z223" s="135"/>
      <c r="AA223" s="135"/>
      <c r="AB223" s="136"/>
      <c r="AC223" s="134"/>
      <c r="AD223" s="135"/>
      <c r="AE223" s="135"/>
      <c r="AF223" s="136"/>
      <c r="AG223" s="134"/>
      <c r="AH223" t="s">
        <v>3170</v>
      </c>
      <c r="AI223" t="s">
        <v>3171</v>
      </c>
      <c r="AJ223" t="s">
        <v>3172</v>
      </c>
      <c r="AK223" t="s">
        <v>3173</v>
      </c>
      <c r="AL223" t="s">
        <v>3174</v>
      </c>
      <c r="AN223" s="20"/>
      <c r="AO223" s="20"/>
      <c r="AP223" s="640" t="s">
        <v>3175</v>
      </c>
      <c r="AQ223" s="20" t="s">
        <v>1839</v>
      </c>
      <c r="AR223" s="97" t="s">
        <v>1838</v>
      </c>
    </row>
    <row r="224" spans="1:44" s="104" customFormat="1" x14ac:dyDescent="0.25">
      <c r="B224" s="373"/>
      <c r="C224" s="308"/>
      <c r="D224" s="35" t="s">
        <v>128</v>
      </c>
      <c r="E224" s="16"/>
      <c r="F224" s="247"/>
      <c r="G224" s="247"/>
      <c r="H224" s="310"/>
      <c r="I224" s="310"/>
      <c r="J224" s="310"/>
      <c r="K224" s="310"/>
      <c r="L224" s="249"/>
      <c r="M224" s="249"/>
      <c r="N224" s="250"/>
      <c r="O224" s="251"/>
      <c r="P224" s="277"/>
      <c r="Q224" s="247"/>
      <c r="R224" s="247"/>
      <c r="S224" s="247"/>
      <c r="T224" s="253"/>
      <c r="U224" s="252"/>
      <c r="V224" s="247"/>
      <c r="W224" s="247"/>
      <c r="X224" s="253"/>
      <c r="Y224" s="252"/>
      <c r="Z224" s="247"/>
      <c r="AA224" s="247"/>
      <c r="AB224" s="253"/>
      <c r="AC224" s="252"/>
      <c r="AD224" s="247"/>
      <c r="AE224" s="247"/>
      <c r="AF224" s="253"/>
      <c r="AG224" s="252"/>
      <c r="AP224" s="254"/>
      <c r="AQ224" s="255"/>
    </row>
    <row r="225" spans="1:44" s="108" customFormat="1" ht="15.6" x14ac:dyDescent="0.3">
      <c r="A225" s="108" t="s">
        <v>1792</v>
      </c>
      <c r="B225" s="370"/>
      <c r="C225" s="194"/>
      <c r="D225" s="35" t="s">
        <v>128</v>
      </c>
      <c r="E225" s="194"/>
      <c r="F225" s="196"/>
      <c r="G225" s="196"/>
      <c r="H225" s="235"/>
      <c r="I225" s="235"/>
      <c r="J225" s="235"/>
      <c r="K225" s="235"/>
      <c r="L225" s="204"/>
      <c r="M225" s="203"/>
      <c r="N225" s="205"/>
      <c r="O225" s="206"/>
      <c r="P225" s="276"/>
      <c r="Q225" s="196"/>
      <c r="R225" s="196"/>
      <c r="S225" s="196"/>
      <c r="T225" s="197"/>
      <c r="U225" s="195"/>
      <c r="V225" s="196"/>
      <c r="W225" s="196"/>
      <c r="X225" s="197"/>
      <c r="Y225" s="195"/>
      <c r="Z225" s="196"/>
      <c r="AA225" s="196"/>
      <c r="AB225" s="197"/>
      <c r="AC225" s="195"/>
      <c r="AD225" s="196"/>
      <c r="AE225" s="196"/>
      <c r="AF225" s="197"/>
      <c r="AG225" s="195"/>
      <c r="AH225" s="198"/>
      <c r="AI225" s="198"/>
      <c r="AJ225" s="198"/>
      <c r="AK225" s="199"/>
      <c r="AL225" s="199"/>
      <c r="AM225" s="199"/>
      <c r="AN225" s="199"/>
      <c r="AO225" s="199"/>
      <c r="AP225" s="199"/>
      <c r="AQ225" s="200"/>
    </row>
    <row r="226" spans="1:44" s="213" customFormat="1" x14ac:dyDescent="0.25">
      <c r="A226" s="213" t="s">
        <v>1789</v>
      </c>
      <c r="B226" s="369"/>
      <c r="C226" s="192"/>
      <c r="D226" s="35" t="s">
        <v>128</v>
      </c>
      <c r="E226" s="241"/>
      <c r="F226" s="192"/>
      <c r="G226" s="192"/>
      <c r="H226" s="221"/>
      <c r="I226" s="221"/>
      <c r="J226" s="221"/>
      <c r="K226" s="221"/>
      <c r="L226" s="211"/>
      <c r="M226" s="211"/>
      <c r="N226" s="215"/>
      <c r="O226" s="216"/>
      <c r="P226" s="275"/>
      <c r="Q226" s="192"/>
      <c r="R226" s="192"/>
      <c r="S226" s="192"/>
      <c r="T226" s="193"/>
      <c r="U226" s="46"/>
      <c r="V226" s="35"/>
      <c r="W226" s="35"/>
      <c r="X226" s="72"/>
      <c r="Y226" s="46"/>
      <c r="Z226" s="35"/>
      <c r="AA226" s="35"/>
      <c r="AB226" s="72"/>
      <c r="AC226" s="46"/>
      <c r="AD226" s="35"/>
      <c r="AE226" s="35"/>
      <c r="AF226" s="72"/>
      <c r="AG226" s="191"/>
      <c r="AH226" s="202"/>
      <c r="AI226" s="202"/>
      <c r="AJ226" s="202"/>
      <c r="AK226" s="225"/>
      <c r="AL226" s="225"/>
      <c r="AM226" s="225"/>
      <c r="AN226" s="225"/>
      <c r="AO226" s="225"/>
      <c r="AQ226" s="224"/>
    </row>
    <row r="227" spans="1:44" s="20" customFormat="1" ht="13.8" x14ac:dyDescent="0.3">
      <c r="A227" s="410" t="s">
        <v>121</v>
      </c>
      <c r="B227" s="411"/>
      <c r="C227" s="424" t="s">
        <v>369</v>
      </c>
      <c r="D227" s="412" t="s">
        <v>1753</v>
      </c>
      <c r="E227" s="424" t="s">
        <v>1386</v>
      </c>
      <c r="F227" s="412" t="s">
        <v>1758</v>
      </c>
      <c r="G227" s="412" t="s">
        <v>1507</v>
      </c>
      <c r="H227" s="431">
        <v>7331423005789</v>
      </c>
      <c r="I227" s="431"/>
      <c r="J227" s="431"/>
      <c r="K227" s="431"/>
      <c r="L227" s="415" t="s">
        <v>148</v>
      </c>
      <c r="M227" s="415" t="s">
        <v>327</v>
      </c>
      <c r="N227" s="416">
        <v>8.99</v>
      </c>
      <c r="O227" s="417">
        <v>12</v>
      </c>
      <c r="P227" s="418">
        <v>72</v>
      </c>
      <c r="Q227" s="412">
        <f>CONVERT(76,"g","lbm")</f>
        <v>0.16755131926050695</v>
      </c>
      <c r="R227" s="412">
        <v>4</v>
      </c>
      <c r="S227" s="412">
        <v>4</v>
      </c>
      <c r="T227" s="420">
        <v>2.375</v>
      </c>
      <c r="U227" s="419">
        <f>CONVERT(80,"g","lbm")</f>
        <v>0.17636980974790206</v>
      </c>
      <c r="V227" s="412">
        <v>4.25</v>
      </c>
      <c r="W227" s="412">
        <v>2.5</v>
      </c>
      <c r="X227" s="420">
        <v>5.125</v>
      </c>
      <c r="Y227" s="419">
        <f>CONVERT(1080,"g","lbm")</f>
        <v>2.3809924315966779</v>
      </c>
      <c r="Z227" s="412">
        <v>11.0625</v>
      </c>
      <c r="AA227" s="412">
        <v>4.75</v>
      </c>
      <c r="AB227" s="420">
        <v>9.75</v>
      </c>
      <c r="AC227" s="419">
        <v>15.35</v>
      </c>
      <c r="AD227" s="412">
        <v>15</v>
      </c>
      <c r="AE227" s="412">
        <v>11.375</v>
      </c>
      <c r="AF227" s="420">
        <v>20</v>
      </c>
      <c r="AG227" s="419">
        <f>AD227*AE227*AF227/(12^3)</f>
        <v>1.9748263888888888</v>
      </c>
      <c r="AH227" s="410" t="s">
        <v>1957</v>
      </c>
      <c r="AI227" s="421" t="s">
        <v>372</v>
      </c>
      <c r="AJ227" s="421" t="s">
        <v>1945</v>
      </c>
      <c r="AK227" s="421" t="s">
        <v>1946</v>
      </c>
      <c r="AL227" s="421" t="s">
        <v>1947</v>
      </c>
      <c r="AM227" s="421" t="s">
        <v>1688</v>
      </c>
      <c r="AN227" s="421" t="s">
        <v>1956</v>
      </c>
      <c r="AO227" s="428" t="s">
        <v>1948</v>
      </c>
      <c r="AP227" s="432" t="s">
        <v>373</v>
      </c>
      <c r="AQ227" s="410" t="s">
        <v>1839</v>
      </c>
      <c r="AR227" s="422" t="s">
        <v>1838</v>
      </c>
    </row>
    <row r="228" spans="1:44" s="16" customFormat="1" ht="13.8" x14ac:dyDescent="0.3">
      <c r="A228" s="20" t="s">
        <v>121</v>
      </c>
      <c r="B228" s="141"/>
      <c r="C228" s="21" t="s">
        <v>369</v>
      </c>
      <c r="D228" s="17" t="s">
        <v>821</v>
      </c>
      <c r="E228" s="21" t="s">
        <v>1386</v>
      </c>
      <c r="F228" s="17" t="s">
        <v>819</v>
      </c>
      <c r="G228" s="17" t="s">
        <v>1507</v>
      </c>
      <c r="H228" s="32">
        <v>7331423008117</v>
      </c>
      <c r="I228" s="49">
        <v>7331423100699</v>
      </c>
      <c r="J228" s="49">
        <v>7331423200924</v>
      </c>
      <c r="K228" s="49">
        <v>17331423200921</v>
      </c>
      <c r="L228" s="29" t="s">
        <v>148</v>
      </c>
      <c r="M228" s="29" t="s">
        <v>327</v>
      </c>
      <c r="N228" s="6">
        <v>8.99</v>
      </c>
      <c r="O228" s="37">
        <v>12</v>
      </c>
      <c r="P228" s="228">
        <v>72</v>
      </c>
      <c r="Q228" s="35">
        <f t="shared" ref="Q228:Q231" si="100">CONVERT(76,"g","lbm")</f>
        <v>0.16755131926050695</v>
      </c>
      <c r="R228" s="35">
        <v>4</v>
      </c>
      <c r="S228" s="35">
        <v>4</v>
      </c>
      <c r="T228" s="72">
        <v>2.375</v>
      </c>
      <c r="U228" s="46">
        <f>CONVERT(80,"g","lbm")</f>
        <v>0.17636980974790206</v>
      </c>
      <c r="V228" s="35">
        <v>4.25</v>
      </c>
      <c r="W228" s="35">
        <v>2.5</v>
      </c>
      <c r="X228" s="72">
        <v>5.125</v>
      </c>
      <c r="Y228" s="46">
        <f>CONVERT(1080,"g","lbm")</f>
        <v>2.3809924315966779</v>
      </c>
      <c r="Z228" s="35">
        <v>11.0625</v>
      </c>
      <c r="AA228" s="35">
        <v>4.75</v>
      </c>
      <c r="AB228" s="72">
        <v>9.75</v>
      </c>
      <c r="AC228" s="46">
        <v>15.35</v>
      </c>
      <c r="AD228" s="35">
        <v>15</v>
      </c>
      <c r="AE228" s="35">
        <v>11.375</v>
      </c>
      <c r="AF228" s="72">
        <v>20</v>
      </c>
      <c r="AG228" s="44">
        <f>AD228*AE228*AF228/(12^3)</f>
        <v>1.9748263888888888</v>
      </c>
      <c r="AH228" s="20" t="s">
        <v>1957</v>
      </c>
      <c r="AI228" s="39" t="s">
        <v>372</v>
      </c>
      <c r="AJ228" s="39" t="s">
        <v>1945</v>
      </c>
      <c r="AK228" s="39" t="s">
        <v>1946</v>
      </c>
      <c r="AL228" s="39" t="s">
        <v>1947</v>
      </c>
      <c r="AM228" s="39" t="s">
        <v>1688</v>
      </c>
      <c r="AN228" s="39" t="s">
        <v>1956</v>
      </c>
      <c r="AO228" s="42" t="s">
        <v>1948</v>
      </c>
      <c r="AP228" s="259" t="s">
        <v>373</v>
      </c>
      <c r="AQ228" s="20" t="s">
        <v>1839</v>
      </c>
      <c r="AR228" s="97" t="s">
        <v>1838</v>
      </c>
    </row>
    <row r="229" spans="1:44" s="16" customFormat="1" ht="13.8" x14ac:dyDescent="0.3">
      <c r="A229" s="20" t="s">
        <v>121</v>
      </c>
      <c r="B229" s="141"/>
      <c r="C229" s="21" t="s">
        <v>369</v>
      </c>
      <c r="D229" s="17" t="s">
        <v>820</v>
      </c>
      <c r="E229" s="21" t="s">
        <v>1386</v>
      </c>
      <c r="F229" s="17" t="s">
        <v>825</v>
      </c>
      <c r="G229" s="17" t="s">
        <v>1507</v>
      </c>
      <c r="H229" s="32">
        <v>7331423008124</v>
      </c>
      <c r="I229" s="49">
        <v>7331423100682</v>
      </c>
      <c r="J229" s="49">
        <v>7331423200917</v>
      </c>
      <c r="K229" s="49">
        <v>17331423200914</v>
      </c>
      <c r="L229" s="29" t="s">
        <v>148</v>
      </c>
      <c r="M229" s="29" t="s">
        <v>327</v>
      </c>
      <c r="N229" s="6">
        <v>8.99</v>
      </c>
      <c r="O229" s="37">
        <v>12</v>
      </c>
      <c r="P229" s="228">
        <v>72</v>
      </c>
      <c r="Q229" s="35">
        <f t="shared" si="100"/>
        <v>0.16755131926050695</v>
      </c>
      <c r="R229" s="35">
        <v>4</v>
      </c>
      <c r="S229" s="35">
        <v>4</v>
      </c>
      <c r="T229" s="72">
        <v>2.375</v>
      </c>
      <c r="U229" s="46">
        <f>CONVERT(80,"g","lbm")</f>
        <v>0.17636980974790206</v>
      </c>
      <c r="V229" s="35">
        <v>4.25</v>
      </c>
      <c r="W229" s="35">
        <v>2.5</v>
      </c>
      <c r="X229" s="72">
        <v>5.125</v>
      </c>
      <c r="Y229" s="46">
        <f>CONVERT(1080,"g","lbm")</f>
        <v>2.3809924315966779</v>
      </c>
      <c r="Z229" s="35">
        <v>11.0625</v>
      </c>
      <c r="AA229" s="35">
        <v>4.75</v>
      </c>
      <c r="AB229" s="72">
        <v>9.75</v>
      </c>
      <c r="AC229" s="46">
        <v>15.35</v>
      </c>
      <c r="AD229" s="35">
        <v>15</v>
      </c>
      <c r="AE229" s="35">
        <v>11.375</v>
      </c>
      <c r="AF229" s="72">
        <v>20</v>
      </c>
      <c r="AG229" s="44">
        <f>AD229*AE229*AF229/(12^3)</f>
        <v>1.9748263888888888</v>
      </c>
      <c r="AH229" s="20" t="s">
        <v>1957</v>
      </c>
      <c r="AI229" s="39" t="s">
        <v>372</v>
      </c>
      <c r="AJ229" s="39" t="s">
        <v>1945</v>
      </c>
      <c r="AK229" s="39" t="s">
        <v>1946</v>
      </c>
      <c r="AL229" s="39" t="s">
        <v>1947</v>
      </c>
      <c r="AM229" s="39" t="s">
        <v>1688</v>
      </c>
      <c r="AN229" s="39" t="s">
        <v>1956</v>
      </c>
      <c r="AO229" s="42" t="s">
        <v>1948</v>
      </c>
      <c r="AP229" s="259" t="s">
        <v>373</v>
      </c>
      <c r="AQ229" s="20" t="s">
        <v>1839</v>
      </c>
      <c r="AR229" s="97" t="s">
        <v>1838</v>
      </c>
    </row>
    <row r="230" spans="1:44" s="16" customFormat="1" ht="13.8" x14ac:dyDescent="0.3">
      <c r="A230" s="20" t="s">
        <v>121</v>
      </c>
      <c r="B230" s="141"/>
      <c r="C230" s="21" t="s">
        <v>369</v>
      </c>
      <c r="D230" s="17" t="s">
        <v>1793</v>
      </c>
      <c r="E230" s="21" t="s">
        <v>1386</v>
      </c>
      <c r="F230" s="16" t="s">
        <v>1795</v>
      </c>
      <c r="G230" s="17" t="s">
        <v>1507</v>
      </c>
      <c r="H230" s="32">
        <v>7331423006809</v>
      </c>
      <c r="I230" s="448">
        <v>7331423006809</v>
      </c>
      <c r="J230" s="49">
        <v>7331423200931</v>
      </c>
      <c r="K230" s="49">
        <v>17331423200938</v>
      </c>
      <c r="L230" s="29" t="s">
        <v>148</v>
      </c>
      <c r="M230" s="29" t="s">
        <v>327</v>
      </c>
      <c r="N230" s="6">
        <v>8.99</v>
      </c>
      <c r="O230" s="37">
        <v>12</v>
      </c>
      <c r="P230" s="228">
        <v>72</v>
      </c>
      <c r="Q230" s="35">
        <f t="shared" si="100"/>
        <v>0.16755131926050695</v>
      </c>
      <c r="R230" s="35">
        <v>4</v>
      </c>
      <c r="S230" s="35">
        <v>4</v>
      </c>
      <c r="T230" s="72">
        <v>2.375</v>
      </c>
      <c r="U230" s="46">
        <f>CONVERT(80,"g","lbm")</f>
        <v>0.17636980974790206</v>
      </c>
      <c r="V230" s="35">
        <v>4.25</v>
      </c>
      <c r="W230" s="35">
        <v>2.5</v>
      </c>
      <c r="X230" s="72">
        <v>5.125</v>
      </c>
      <c r="Y230" s="46">
        <f>CONVERT(1080,"g","lbm")</f>
        <v>2.3809924315966779</v>
      </c>
      <c r="Z230" s="35">
        <v>11.0625</v>
      </c>
      <c r="AA230" s="35">
        <v>4.75</v>
      </c>
      <c r="AB230" s="72">
        <v>9.75</v>
      </c>
      <c r="AC230" s="46">
        <v>15.35</v>
      </c>
      <c r="AD230" s="35">
        <v>15</v>
      </c>
      <c r="AE230" s="35">
        <v>11.375</v>
      </c>
      <c r="AF230" s="72">
        <v>20</v>
      </c>
      <c r="AG230" s="44">
        <f>AD230*AE230*AF230/(12^3)</f>
        <v>1.9748263888888888</v>
      </c>
      <c r="AH230" s="20" t="s">
        <v>1957</v>
      </c>
      <c r="AI230" s="39" t="s">
        <v>372</v>
      </c>
      <c r="AJ230" s="39" t="s">
        <v>1945</v>
      </c>
      <c r="AK230" s="39" t="s">
        <v>1946</v>
      </c>
      <c r="AL230" s="39" t="s">
        <v>1947</v>
      </c>
      <c r="AM230" s="39" t="s">
        <v>1688</v>
      </c>
      <c r="AN230" s="39" t="s">
        <v>1956</v>
      </c>
      <c r="AO230" s="42" t="s">
        <v>1948</v>
      </c>
      <c r="AP230" s="259" t="s">
        <v>373</v>
      </c>
      <c r="AQ230" s="20" t="s">
        <v>1839</v>
      </c>
      <c r="AR230" s="97" t="s">
        <v>1838</v>
      </c>
    </row>
    <row r="231" spans="1:44" s="16" customFormat="1" ht="13.8" x14ac:dyDescent="0.3">
      <c r="A231" s="20" t="s">
        <v>121</v>
      </c>
      <c r="B231" s="141"/>
      <c r="C231" s="21" t="s">
        <v>369</v>
      </c>
      <c r="D231" s="17" t="s">
        <v>786</v>
      </c>
      <c r="E231" s="21" t="s">
        <v>1386</v>
      </c>
      <c r="F231" s="35" t="s">
        <v>1759</v>
      </c>
      <c r="G231" s="17" t="s">
        <v>1507</v>
      </c>
      <c r="H231" s="32">
        <v>7331423008131</v>
      </c>
      <c r="I231" s="448">
        <v>7331423100729</v>
      </c>
      <c r="J231" s="49">
        <v>7331423200955</v>
      </c>
      <c r="K231" s="49">
        <v>17331423200952</v>
      </c>
      <c r="L231" s="29" t="s">
        <v>148</v>
      </c>
      <c r="M231" s="29" t="s">
        <v>327</v>
      </c>
      <c r="N231" s="6">
        <v>8.99</v>
      </c>
      <c r="O231" s="37">
        <v>12</v>
      </c>
      <c r="P231" s="228">
        <v>72</v>
      </c>
      <c r="Q231" s="35">
        <f t="shared" si="100"/>
        <v>0.16755131926050695</v>
      </c>
      <c r="R231" s="35">
        <v>4</v>
      </c>
      <c r="S231" s="35">
        <v>4</v>
      </c>
      <c r="T231" s="72">
        <v>2.375</v>
      </c>
      <c r="U231" s="46">
        <f>CONVERT(80,"g","lbm")</f>
        <v>0.17636980974790206</v>
      </c>
      <c r="V231" s="35">
        <v>4.25</v>
      </c>
      <c r="W231" s="35">
        <v>2.5</v>
      </c>
      <c r="X231" s="72">
        <v>5.125</v>
      </c>
      <c r="Y231" s="46">
        <f>CONVERT(1080,"g","lbm")</f>
        <v>2.3809924315966779</v>
      </c>
      <c r="Z231" s="35">
        <v>11.0625</v>
      </c>
      <c r="AA231" s="35">
        <v>4.75</v>
      </c>
      <c r="AB231" s="72">
        <v>9.75</v>
      </c>
      <c r="AC231" s="46">
        <v>15.35</v>
      </c>
      <c r="AD231" s="35">
        <v>15</v>
      </c>
      <c r="AE231" s="35">
        <v>11.375</v>
      </c>
      <c r="AF231" s="72">
        <v>20</v>
      </c>
      <c r="AG231" s="44">
        <f>AD231*AE231*AF231/(12^3)</f>
        <v>1.9748263888888888</v>
      </c>
      <c r="AH231" s="20" t="s">
        <v>1957</v>
      </c>
      <c r="AI231" s="39" t="s">
        <v>372</v>
      </c>
      <c r="AJ231" s="39" t="s">
        <v>1945</v>
      </c>
      <c r="AK231" s="39" t="s">
        <v>1946</v>
      </c>
      <c r="AL231" s="39" t="s">
        <v>1947</v>
      </c>
      <c r="AM231" s="39" t="s">
        <v>1688</v>
      </c>
      <c r="AN231" s="39" t="s">
        <v>1956</v>
      </c>
      <c r="AO231" s="42" t="s">
        <v>1948</v>
      </c>
      <c r="AP231" s="259" t="s">
        <v>373</v>
      </c>
      <c r="AQ231" s="20" t="s">
        <v>1839</v>
      </c>
      <c r="AR231" s="97" t="s">
        <v>1838</v>
      </c>
    </row>
    <row r="232" spans="1:44" s="20" customFormat="1" x14ac:dyDescent="0.25">
      <c r="A232" s="213" t="s">
        <v>1790</v>
      </c>
      <c r="B232" s="141"/>
      <c r="C232" s="21"/>
      <c r="D232" s="35"/>
      <c r="E232" s="21"/>
      <c r="F232" s="35"/>
      <c r="G232" s="35"/>
      <c r="H232" s="49"/>
      <c r="I232" s="49"/>
      <c r="J232" s="49"/>
      <c r="K232" s="49"/>
      <c r="L232" s="38"/>
      <c r="M232" s="38"/>
      <c r="N232" s="7"/>
      <c r="O232" s="37"/>
      <c r="P232" s="228"/>
      <c r="Q232" s="35"/>
      <c r="R232" s="35"/>
      <c r="S232" s="35"/>
      <c r="T232" s="72"/>
      <c r="U232" s="46"/>
      <c r="V232" s="35"/>
      <c r="W232" s="35"/>
      <c r="X232" s="72"/>
      <c r="Y232" s="46"/>
      <c r="Z232" s="35"/>
      <c r="AA232" s="35"/>
      <c r="AB232" s="72"/>
      <c r="AC232" s="46"/>
      <c r="AD232" s="35"/>
      <c r="AE232" s="35"/>
      <c r="AF232" s="72"/>
      <c r="AG232" s="46"/>
      <c r="AH232" s="39"/>
      <c r="AI232" s="39"/>
      <c r="AJ232" s="39"/>
      <c r="AK232" s="42"/>
      <c r="AL232" s="42"/>
      <c r="AM232" s="42"/>
      <c r="AN232" s="42"/>
      <c r="AO232" s="42"/>
      <c r="AP232" s="259"/>
      <c r="AQ232" s="97"/>
    </row>
    <row r="233" spans="1:44" s="20" customFormat="1" ht="13.8" x14ac:dyDescent="0.3">
      <c r="A233" s="410" t="s">
        <v>121</v>
      </c>
      <c r="B233" s="411"/>
      <c r="C233" s="410" t="s">
        <v>370</v>
      </c>
      <c r="D233" s="412" t="s">
        <v>1754</v>
      </c>
      <c r="E233" s="410" t="s">
        <v>1387</v>
      </c>
      <c r="F233" s="410" t="s">
        <v>1757</v>
      </c>
      <c r="G233" s="412" t="s">
        <v>1507</v>
      </c>
      <c r="H233" s="433">
        <v>7331423007165</v>
      </c>
      <c r="I233" s="433"/>
      <c r="J233" s="433"/>
      <c r="K233" s="433"/>
      <c r="L233" s="415" t="s">
        <v>148</v>
      </c>
      <c r="M233" s="434" t="s">
        <v>327</v>
      </c>
      <c r="N233" s="416">
        <v>9.99</v>
      </c>
      <c r="O233" s="410">
        <v>12</v>
      </c>
      <c r="P233" s="418">
        <v>72</v>
      </c>
      <c r="Q233" s="412">
        <f>CONVERT(114,"g","lbm")</f>
        <v>0.25132697889076044</v>
      </c>
      <c r="R233" s="412">
        <f>CONVERT(168,"mm","in")</f>
        <v>6.6141732283464574</v>
      </c>
      <c r="S233" s="412">
        <f>CONVERT(70,"mm","in")</f>
        <v>2.7559055118110236</v>
      </c>
      <c r="T233" s="420">
        <v>2.5</v>
      </c>
      <c r="U233" s="419">
        <f t="shared" ref="U233:U238" si="101">CONVERT(120,"g","lbm")</f>
        <v>0.26455471462185309</v>
      </c>
      <c r="V233" s="412">
        <v>6.75</v>
      </c>
      <c r="W233" s="412">
        <v>2.5</v>
      </c>
      <c r="X233" s="420">
        <v>3.75</v>
      </c>
      <c r="Y233" s="419">
        <f t="shared" ref="Y233:Y238" si="102">CONVERT(1590,"g","lbm")</f>
        <v>3.5053499687395533</v>
      </c>
      <c r="Z233" s="412">
        <v>11.25</v>
      </c>
      <c r="AA233" s="412">
        <v>6.875</v>
      </c>
      <c r="AB233" s="420">
        <v>8.75</v>
      </c>
      <c r="AC233" s="419">
        <v>15.3</v>
      </c>
      <c r="AD233" s="412">
        <v>20.5625</v>
      </c>
      <c r="AE233" s="412">
        <v>11.5</v>
      </c>
      <c r="AF233" s="420">
        <v>17.375</v>
      </c>
      <c r="AG233" s="419">
        <f t="shared" ref="AG233:AG238" si="103">AD233*AE233*AF233/(12^3)</f>
        <v>2.3776878074363426</v>
      </c>
      <c r="AH233" s="410" t="s">
        <v>1959</v>
      </c>
      <c r="AI233" s="421" t="s">
        <v>372</v>
      </c>
      <c r="AJ233" s="421" t="s">
        <v>1945</v>
      </c>
      <c r="AK233" s="421" t="s">
        <v>1946</v>
      </c>
      <c r="AL233" s="421" t="s">
        <v>1953</v>
      </c>
      <c r="AM233" s="421" t="s">
        <v>1688</v>
      </c>
      <c r="AN233" s="421" t="s">
        <v>1956</v>
      </c>
      <c r="AO233" s="410" t="s">
        <v>1958</v>
      </c>
      <c r="AP233" s="410" t="s">
        <v>374</v>
      </c>
      <c r="AQ233" s="410" t="s">
        <v>1839</v>
      </c>
      <c r="AR233" s="422" t="s">
        <v>1838</v>
      </c>
    </row>
    <row r="234" spans="1:44" s="20" customFormat="1" ht="13.8" x14ac:dyDescent="0.3">
      <c r="A234" s="410" t="s">
        <v>121</v>
      </c>
      <c r="B234" s="411"/>
      <c r="C234" s="410" t="s">
        <v>370</v>
      </c>
      <c r="D234" s="412" t="s">
        <v>371</v>
      </c>
      <c r="E234" s="410" t="s">
        <v>1387</v>
      </c>
      <c r="F234" s="412" t="s">
        <v>1794</v>
      </c>
      <c r="G234" s="412" t="s">
        <v>1507</v>
      </c>
      <c r="H234" s="433">
        <v>7331423007196</v>
      </c>
      <c r="I234" s="433"/>
      <c r="J234" s="433"/>
      <c r="K234" s="433"/>
      <c r="L234" s="415" t="s">
        <v>148</v>
      </c>
      <c r="M234" s="434" t="s">
        <v>327</v>
      </c>
      <c r="N234" s="416">
        <v>9.99</v>
      </c>
      <c r="O234" s="410">
        <v>12</v>
      </c>
      <c r="P234" s="418">
        <v>72</v>
      </c>
      <c r="Q234" s="412">
        <f t="shared" ref="Q234:Q238" si="104">CONVERT(114,"g","lbm")</f>
        <v>0.25132697889076044</v>
      </c>
      <c r="R234" s="412">
        <f t="shared" ref="R234:R238" si="105">CONVERT(168,"mm","in")</f>
        <v>6.6141732283464574</v>
      </c>
      <c r="S234" s="412">
        <f t="shared" ref="S234:S238" si="106">CONVERT(70,"mm","in")</f>
        <v>2.7559055118110236</v>
      </c>
      <c r="T234" s="420">
        <v>2.5</v>
      </c>
      <c r="U234" s="419">
        <f t="shared" si="101"/>
        <v>0.26455471462185309</v>
      </c>
      <c r="V234" s="412">
        <v>6.75</v>
      </c>
      <c r="W234" s="412">
        <v>2.5</v>
      </c>
      <c r="X234" s="420">
        <v>3.75</v>
      </c>
      <c r="Y234" s="419">
        <f t="shared" si="102"/>
        <v>3.5053499687395533</v>
      </c>
      <c r="Z234" s="412">
        <v>11.25</v>
      </c>
      <c r="AA234" s="412">
        <v>6.875</v>
      </c>
      <c r="AB234" s="420">
        <v>8.75</v>
      </c>
      <c r="AC234" s="419">
        <v>15.3</v>
      </c>
      <c r="AD234" s="412">
        <v>20.5625</v>
      </c>
      <c r="AE234" s="412">
        <v>11.5</v>
      </c>
      <c r="AF234" s="420">
        <v>17.375</v>
      </c>
      <c r="AG234" s="419">
        <f t="shared" si="103"/>
        <v>2.3776878074363426</v>
      </c>
      <c r="AH234" s="410" t="s">
        <v>1959</v>
      </c>
      <c r="AI234" s="421" t="s">
        <v>372</v>
      </c>
      <c r="AJ234" s="421" t="s">
        <v>1945</v>
      </c>
      <c r="AK234" s="421" t="s">
        <v>1946</v>
      </c>
      <c r="AL234" s="421" t="s">
        <v>1953</v>
      </c>
      <c r="AM234" s="421" t="s">
        <v>1688</v>
      </c>
      <c r="AN234" s="421" t="s">
        <v>1956</v>
      </c>
      <c r="AO234" s="410" t="s">
        <v>1958</v>
      </c>
      <c r="AP234" s="410" t="s">
        <v>374</v>
      </c>
      <c r="AQ234" s="410" t="s">
        <v>1839</v>
      </c>
      <c r="AR234" s="422" t="s">
        <v>1838</v>
      </c>
    </row>
    <row r="235" spans="1:44" s="16" customFormat="1" ht="13.8" x14ac:dyDescent="0.3">
      <c r="A235" s="16" t="s">
        <v>121</v>
      </c>
      <c r="B235" s="143"/>
      <c r="C235" s="20" t="s">
        <v>370</v>
      </c>
      <c r="D235" s="17" t="s">
        <v>821</v>
      </c>
      <c r="E235" s="16" t="s">
        <v>1387</v>
      </c>
      <c r="F235" s="17" t="s">
        <v>819</v>
      </c>
      <c r="G235" s="17" t="s">
        <v>1507</v>
      </c>
      <c r="H235" s="50">
        <v>7331423008155</v>
      </c>
      <c r="I235" s="50">
        <v>7331423100743</v>
      </c>
      <c r="J235" s="50">
        <v>7331423200979</v>
      </c>
      <c r="K235" s="50">
        <v>17331423200976</v>
      </c>
      <c r="L235" s="29" t="s">
        <v>148</v>
      </c>
      <c r="M235" s="51" t="s">
        <v>327</v>
      </c>
      <c r="N235" s="6">
        <v>9.99</v>
      </c>
      <c r="O235" s="20">
        <v>12</v>
      </c>
      <c r="P235" s="228">
        <v>72</v>
      </c>
      <c r="Q235" s="35">
        <f t="shared" si="104"/>
        <v>0.25132697889076044</v>
      </c>
      <c r="R235" s="35">
        <f t="shared" si="105"/>
        <v>6.6141732283464574</v>
      </c>
      <c r="S235" s="35">
        <f t="shared" si="106"/>
        <v>2.7559055118110236</v>
      </c>
      <c r="T235" s="72">
        <v>2.5</v>
      </c>
      <c r="U235" s="46">
        <f t="shared" si="101"/>
        <v>0.26455471462185309</v>
      </c>
      <c r="V235" s="35">
        <v>6.75</v>
      </c>
      <c r="W235" s="35">
        <v>2.5</v>
      </c>
      <c r="X235" s="72">
        <v>3.75</v>
      </c>
      <c r="Y235" s="46">
        <f t="shared" si="102"/>
        <v>3.5053499687395533</v>
      </c>
      <c r="Z235" s="35">
        <v>11.25</v>
      </c>
      <c r="AA235" s="35">
        <v>6.875</v>
      </c>
      <c r="AB235" s="72">
        <v>8.75</v>
      </c>
      <c r="AC235" s="46">
        <v>15.3</v>
      </c>
      <c r="AD235" s="35">
        <v>20.5625</v>
      </c>
      <c r="AE235" s="35">
        <v>11.5</v>
      </c>
      <c r="AF235" s="72">
        <v>17.375</v>
      </c>
      <c r="AG235" s="44">
        <f t="shared" si="103"/>
        <v>2.3776878074363426</v>
      </c>
      <c r="AH235" s="20" t="s">
        <v>1959</v>
      </c>
      <c r="AI235" s="39" t="s">
        <v>372</v>
      </c>
      <c r="AJ235" s="39" t="s">
        <v>1945</v>
      </c>
      <c r="AK235" s="39" t="s">
        <v>1946</v>
      </c>
      <c r="AL235" s="39" t="s">
        <v>1953</v>
      </c>
      <c r="AM235" s="39" t="s">
        <v>1688</v>
      </c>
      <c r="AN235" s="39" t="s">
        <v>1956</v>
      </c>
      <c r="AO235" s="20" t="s">
        <v>1958</v>
      </c>
      <c r="AP235" s="20" t="s">
        <v>374</v>
      </c>
      <c r="AQ235" s="20" t="s">
        <v>1839</v>
      </c>
      <c r="AR235" s="97" t="s">
        <v>1838</v>
      </c>
    </row>
    <row r="236" spans="1:44" s="16" customFormat="1" ht="13.8" x14ac:dyDescent="0.3">
      <c r="A236" s="16" t="s">
        <v>121</v>
      </c>
      <c r="B236" s="143"/>
      <c r="C236" s="20" t="s">
        <v>370</v>
      </c>
      <c r="D236" s="17" t="s">
        <v>820</v>
      </c>
      <c r="E236" s="16" t="s">
        <v>1387</v>
      </c>
      <c r="F236" s="17" t="s">
        <v>825</v>
      </c>
      <c r="G236" s="17" t="s">
        <v>1507</v>
      </c>
      <c r="H236" s="50">
        <v>7331423008162</v>
      </c>
      <c r="I236" s="50">
        <v>7331423100736</v>
      </c>
      <c r="J236" s="50">
        <v>7331423200962</v>
      </c>
      <c r="K236" s="50">
        <v>17331423200969</v>
      </c>
      <c r="L236" s="29" t="s">
        <v>148</v>
      </c>
      <c r="M236" s="51" t="s">
        <v>327</v>
      </c>
      <c r="N236" s="6">
        <v>9.99</v>
      </c>
      <c r="O236" s="20">
        <v>12</v>
      </c>
      <c r="P236" s="228">
        <v>72</v>
      </c>
      <c r="Q236" s="35">
        <f t="shared" si="104"/>
        <v>0.25132697889076044</v>
      </c>
      <c r="R236" s="35">
        <f t="shared" si="105"/>
        <v>6.6141732283464574</v>
      </c>
      <c r="S236" s="35">
        <f t="shared" si="106"/>
        <v>2.7559055118110236</v>
      </c>
      <c r="T236" s="72">
        <v>2.5</v>
      </c>
      <c r="U236" s="46">
        <f t="shared" si="101"/>
        <v>0.26455471462185309</v>
      </c>
      <c r="V236" s="35">
        <v>6.75</v>
      </c>
      <c r="W236" s="35">
        <v>2.5</v>
      </c>
      <c r="X236" s="72">
        <v>3.75</v>
      </c>
      <c r="Y236" s="46">
        <f t="shared" si="102"/>
        <v>3.5053499687395533</v>
      </c>
      <c r="Z236" s="35">
        <v>11.25</v>
      </c>
      <c r="AA236" s="35">
        <v>6.875</v>
      </c>
      <c r="AB236" s="72">
        <v>8.75</v>
      </c>
      <c r="AC236" s="46">
        <v>15.3</v>
      </c>
      <c r="AD236" s="35">
        <v>20.5625</v>
      </c>
      <c r="AE236" s="35">
        <v>11.5</v>
      </c>
      <c r="AF236" s="72">
        <v>17.375</v>
      </c>
      <c r="AG236" s="44">
        <f t="shared" si="103"/>
        <v>2.3776878074363426</v>
      </c>
      <c r="AH236" s="20" t="s">
        <v>1959</v>
      </c>
      <c r="AI236" s="39" t="s">
        <v>372</v>
      </c>
      <c r="AJ236" s="39" t="s">
        <v>1945</v>
      </c>
      <c r="AK236" s="39" t="s">
        <v>1946</v>
      </c>
      <c r="AL236" s="39" t="s">
        <v>1953</v>
      </c>
      <c r="AM236" s="39" t="s">
        <v>1688</v>
      </c>
      <c r="AN236" s="39" t="s">
        <v>1956</v>
      </c>
      <c r="AO236" s="20" t="s">
        <v>1958</v>
      </c>
      <c r="AP236" s="20" t="s">
        <v>374</v>
      </c>
      <c r="AQ236" s="20" t="s">
        <v>1839</v>
      </c>
      <c r="AR236" s="97" t="s">
        <v>1838</v>
      </c>
    </row>
    <row r="237" spans="1:44" s="16" customFormat="1" ht="13.8" x14ac:dyDescent="0.3">
      <c r="A237" s="16" t="s">
        <v>121</v>
      </c>
      <c r="B237" s="143"/>
      <c r="C237" s="20" t="s">
        <v>370</v>
      </c>
      <c r="D237" s="17" t="s">
        <v>1793</v>
      </c>
      <c r="E237" s="16" t="s">
        <v>1387</v>
      </c>
      <c r="F237" s="16" t="s">
        <v>1795</v>
      </c>
      <c r="G237" s="17" t="s">
        <v>1507</v>
      </c>
      <c r="H237" s="50">
        <v>7331423007189</v>
      </c>
      <c r="I237" s="50">
        <v>7331423100750</v>
      </c>
      <c r="J237" s="50">
        <v>7331423200986</v>
      </c>
      <c r="K237" s="50">
        <v>17331423200983</v>
      </c>
      <c r="L237" s="29" t="s">
        <v>148</v>
      </c>
      <c r="M237" s="51" t="s">
        <v>327</v>
      </c>
      <c r="N237" s="6">
        <v>9.99</v>
      </c>
      <c r="O237" s="20">
        <v>12</v>
      </c>
      <c r="P237" s="228">
        <v>72</v>
      </c>
      <c r="Q237" s="35">
        <f t="shared" si="104"/>
        <v>0.25132697889076044</v>
      </c>
      <c r="R237" s="35">
        <f t="shared" si="105"/>
        <v>6.6141732283464574</v>
      </c>
      <c r="S237" s="35">
        <f t="shared" si="106"/>
        <v>2.7559055118110236</v>
      </c>
      <c r="T237" s="72">
        <v>2.5</v>
      </c>
      <c r="U237" s="46">
        <f t="shared" si="101"/>
        <v>0.26455471462185309</v>
      </c>
      <c r="V237" s="35">
        <v>6.75</v>
      </c>
      <c r="W237" s="35">
        <v>2.5</v>
      </c>
      <c r="X237" s="72">
        <v>3.75</v>
      </c>
      <c r="Y237" s="46">
        <f t="shared" si="102"/>
        <v>3.5053499687395533</v>
      </c>
      <c r="Z237" s="35">
        <v>11.25</v>
      </c>
      <c r="AA237" s="35">
        <v>6.875</v>
      </c>
      <c r="AB237" s="72">
        <v>8.75</v>
      </c>
      <c r="AC237" s="46">
        <v>15.3</v>
      </c>
      <c r="AD237" s="35">
        <v>20.5625</v>
      </c>
      <c r="AE237" s="35">
        <v>11.5</v>
      </c>
      <c r="AF237" s="72">
        <v>17.375</v>
      </c>
      <c r="AG237" s="44">
        <f t="shared" si="103"/>
        <v>2.3776878074363426</v>
      </c>
      <c r="AH237" s="20" t="s">
        <v>1959</v>
      </c>
      <c r="AI237" s="39" t="s">
        <v>372</v>
      </c>
      <c r="AJ237" s="39" t="s">
        <v>1945</v>
      </c>
      <c r="AK237" s="39" t="s">
        <v>1946</v>
      </c>
      <c r="AL237" s="39" t="s">
        <v>1953</v>
      </c>
      <c r="AM237" s="39" t="s">
        <v>1688</v>
      </c>
      <c r="AN237" s="39" t="s">
        <v>1956</v>
      </c>
      <c r="AO237" s="20" t="s">
        <v>1958</v>
      </c>
      <c r="AP237" s="20" t="s">
        <v>374</v>
      </c>
      <c r="AQ237" s="20" t="s">
        <v>1839</v>
      </c>
      <c r="AR237" s="97" t="s">
        <v>1838</v>
      </c>
    </row>
    <row r="238" spans="1:44" s="16" customFormat="1" ht="13.8" x14ac:dyDescent="0.3">
      <c r="A238" s="16" t="s">
        <v>121</v>
      </c>
      <c r="B238" s="143"/>
      <c r="C238" s="20" t="s">
        <v>370</v>
      </c>
      <c r="D238" s="17" t="s">
        <v>786</v>
      </c>
      <c r="E238" s="16" t="s">
        <v>1387</v>
      </c>
      <c r="F238" s="35" t="s">
        <v>1759</v>
      </c>
      <c r="G238" s="17" t="s">
        <v>1507</v>
      </c>
      <c r="H238" s="50">
        <v>7331423008179</v>
      </c>
      <c r="I238" s="454">
        <v>7331423100774</v>
      </c>
      <c r="J238" s="50">
        <v>7331423201006</v>
      </c>
      <c r="K238" s="50">
        <v>17331423201003</v>
      </c>
      <c r="L238" s="29" t="s">
        <v>148</v>
      </c>
      <c r="M238" s="51" t="s">
        <v>327</v>
      </c>
      <c r="N238" s="6">
        <v>9.99</v>
      </c>
      <c r="O238" s="20">
        <v>12</v>
      </c>
      <c r="P238" s="228">
        <v>72</v>
      </c>
      <c r="Q238" s="35">
        <f t="shared" si="104"/>
        <v>0.25132697889076044</v>
      </c>
      <c r="R238" s="35">
        <f t="shared" si="105"/>
        <v>6.6141732283464574</v>
      </c>
      <c r="S238" s="35">
        <f t="shared" si="106"/>
        <v>2.7559055118110236</v>
      </c>
      <c r="T238" s="72">
        <v>2.5</v>
      </c>
      <c r="U238" s="46">
        <f t="shared" si="101"/>
        <v>0.26455471462185309</v>
      </c>
      <c r="V238" s="35">
        <v>6.75</v>
      </c>
      <c r="W238" s="35">
        <v>2.5</v>
      </c>
      <c r="X238" s="72">
        <v>3.75</v>
      </c>
      <c r="Y238" s="46">
        <f t="shared" si="102"/>
        <v>3.5053499687395533</v>
      </c>
      <c r="Z238" s="35">
        <v>11.25</v>
      </c>
      <c r="AA238" s="35">
        <v>6.875</v>
      </c>
      <c r="AB238" s="72">
        <v>8.75</v>
      </c>
      <c r="AC238" s="46">
        <v>15.3</v>
      </c>
      <c r="AD238" s="35">
        <v>20.5625</v>
      </c>
      <c r="AE238" s="35">
        <v>11.5</v>
      </c>
      <c r="AF238" s="72">
        <v>17.375</v>
      </c>
      <c r="AG238" s="44">
        <f t="shared" si="103"/>
        <v>2.3776878074363426</v>
      </c>
      <c r="AH238" s="20" t="s">
        <v>1959</v>
      </c>
      <c r="AI238" s="39" t="s">
        <v>372</v>
      </c>
      <c r="AJ238" s="39" t="s">
        <v>1945</v>
      </c>
      <c r="AK238" s="39" t="s">
        <v>1946</v>
      </c>
      <c r="AL238" s="39" t="s">
        <v>1953</v>
      </c>
      <c r="AM238" s="39" t="s">
        <v>1688</v>
      </c>
      <c r="AN238" s="39" t="s">
        <v>1956</v>
      </c>
      <c r="AO238" s="20" t="s">
        <v>1958</v>
      </c>
      <c r="AP238" s="20" t="s">
        <v>374</v>
      </c>
      <c r="AQ238" s="20" t="s">
        <v>1839</v>
      </c>
      <c r="AR238" s="97" t="s">
        <v>1838</v>
      </c>
    </row>
    <row r="239" spans="1:44" s="20" customFormat="1" x14ac:dyDescent="0.25">
      <c r="B239" s="141"/>
      <c r="D239" s="35" t="s">
        <v>128</v>
      </c>
      <c r="H239" s="50"/>
      <c r="I239" s="50"/>
      <c r="J239" s="50"/>
      <c r="K239" s="50"/>
      <c r="L239" s="236"/>
      <c r="M239" s="236"/>
      <c r="N239" s="7"/>
      <c r="P239" s="228"/>
      <c r="Q239" s="35"/>
      <c r="R239" s="35"/>
      <c r="S239" s="35"/>
      <c r="T239" s="72"/>
      <c r="U239" s="46"/>
      <c r="V239" s="35"/>
      <c r="W239" s="35"/>
      <c r="X239" s="72"/>
      <c r="Y239" s="46"/>
      <c r="Z239" s="35"/>
      <c r="AA239" s="35"/>
      <c r="AB239" s="72"/>
      <c r="AC239" s="46"/>
      <c r="AD239" s="35"/>
      <c r="AE239" s="35"/>
      <c r="AF239" s="72"/>
      <c r="AG239" s="46"/>
    </row>
    <row r="240" spans="1:44" s="108" customFormat="1" ht="15.6" x14ac:dyDescent="0.3">
      <c r="A240" s="108" t="s">
        <v>1791</v>
      </c>
      <c r="B240" s="370"/>
      <c r="C240" s="196"/>
      <c r="D240" s="35" t="s">
        <v>128</v>
      </c>
      <c r="E240" s="234"/>
      <c r="H240" s="201"/>
      <c r="I240" s="201"/>
      <c r="J240" s="201"/>
      <c r="K240" s="201"/>
      <c r="L240" s="203"/>
      <c r="M240" s="235"/>
      <c r="N240" s="205"/>
      <c r="O240" s="206"/>
      <c r="P240" s="276"/>
      <c r="Q240" s="196"/>
      <c r="R240" s="196"/>
      <c r="S240" s="196"/>
      <c r="T240" s="197"/>
      <c r="U240" s="195"/>
      <c r="V240" s="196"/>
      <c r="W240" s="196"/>
      <c r="X240" s="197"/>
      <c r="Y240" s="195"/>
      <c r="Z240" s="196"/>
      <c r="AA240" s="196"/>
      <c r="AB240" s="197"/>
      <c r="AC240" s="195"/>
      <c r="AD240" s="196"/>
      <c r="AE240" s="196"/>
      <c r="AF240" s="197"/>
      <c r="AG240" s="195"/>
      <c r="AH240" s="198"/>
      <c r="AI240" s="198"/>
      <c r="AJ240" s="198"/>
      <c r="AK240" s="198"/>
      <c r="AL240" s="198"/>
      <c r="AM240" s="198"/>
      <c r="AN240" s="198"/>
      <c r="AO240" s="198"/>
      <c r="AP240" s="237"/>
    </row>
    <row r="241" spans="1:44" s="20" customFormat="1" ht="13.8" x14ac:dyDescent="0.3">
      <c r="A241" s="410" t="s">
        <v>121</v>
      </c>
      <c r="B241" s="411"/>
      <c r="C241" s="412" t="s">
        <v>347</v>
      </c>
      <c r="D241" s="412" t="s">
        <v>88</v>
      </c>
      <c r="E241" s="413" t="s">
        <v>644</v>
      </c>
      <c r="F241" s="412" t="s">
        <v>49</v>
      </c>
      <c r="G241" s="412" t="s">
        <v>1507</v>
      </c>
      <c r="H241" s="414">
        <v>7331423001613</v>
      </c>
      <c r="I241" s="414">
        <v>7331423001613</v>
      </c>
      <c r="J241" s="414">
        <v>7331423001613</v>
      </c>
      <c r="K241" s="414" t="s">
        <v>66</v>
      </c>
      <c r="L241" s="415" t="s">
        <v>148</v>
      </c>
      <c r="M241" s="415" t="s">
        <v>327</v>
      </c>
      <c r="N241" s="416">
        <v>9.99</v>
      </c>
      <c r="O241" s="417">
        <v>12</v>
      </c>
      <c r="P241" s="418">
        <v>96</v>
      </c>
      <c r="Q241" s="412">
        <f t="shared" ref="Q241:Q250" si="107">CONVERT(40,"g","lbm")</f>
        <v>8.8184904873951031E-2</v>
      </c>
      <c r="R241" s="412">
        <v>2.8</v>
      </c>
      <c r="S241" s="412">
        <v>2.8</v>
      </c>
      <c r="T241" s="420">
        <v>1.2</v>
      </c>
      <c r="U241" s="419">
        <f t="shared" ref="U241:U249" si="108">CONVERT(55,"g","lbm")</f>
        <v>0.12125424420168267</v>
      </c>
      <c r="V241" s="412">
        <v>4</v>
      </c>
      <c r="W241" s="412">
        <v>1</v>
      </c>
      <c r="X241" s="420">
        <v>7.8125</v>
      </c>
      <c r="Y241" s="419">
        <f t="shared" ref="Y241:Y249" si="109">CONVERT(395,"g","lbm")</f>
        <v>0.87082593563026645</v>
      </c>
      <c r="Z241" s="412">
        <v>4.125</v>
      </c>
      <c r="AA241" s="412">
        <v>4.6875</v>
      </c>
      <c r="AB241" s="420">
        <v>8.5</v>
      </c>
      <c r="AC241" s="419">
        <v>18.2</v>
      </c>
      <c r="AD241" s="412">
        <v>14.25</v>
      </c>
      <c r="AE241" s="412">
        <v>8.875</v>
      </c>
      <c r="AF241" s="420">
        <v>17.5</v>
      </c>
      <c r="AG241" s="419">
        <f t="shared" ref="AG241:AG250" si="110">AD241*AE241*AF241/(12^3)</f>
        <v>1.2807888454861112</v>
      </c>
      <c r="AH241" s="435" t="s">
        <v>1683</v>
      </c>
      <c r="AI241" s="410" t="s">
        <v>1684</v>
      </c>
      <c r="AJ241" s="424" t="s">
        <v>1685</v>
      </c>
      <c r="AK241" s="424" t="s">
        <v>1686</v>
      </c>
      <c r="AL241" s="421" t="s">
        <v>1687</v>
      </c>
      <c r="AM241" s="421" t="s">
        <v>1688</v>
      </c>
      <c r="AN241" s="435" t="s">
        <v>1960</v>
      </c>
      <c r="AO241" s="424" t="s">
        <v>1961</v>
      </c>
      <c r="AP241" s="436" t="s">
        <v>1962</v>
      </c>
      <c r="AQ241" s="410" t="s">
        <v>1839</v>
      </c>
      <c r="AR241" s="422" t="s">
        <v>1838</v>
      </c>
    </row>
    <row r="242" spans="1:44" s="20" customFormat="1" ht="13.8" x14ac:dyDescent="0.3">
      <c r="A242" s="410" t="s">
        <v>121</v>
      </c>
      <c r="B242" s="411"/>
      <c r="C242" s="412" t="s">
        <v>347</v>
      </c>
      <c r="D242" s="412" t="s">
        <v>87</v>
      </c>
      <c r="E242" s="413" t="s">
        <v>644</v>
      </c>
      <c r="F242" s="412" t="s">
        <v>54</v>
      </c>
      <c r="G242" s="412" t="s">
        <v>1507</v>
      </c>
      <c r="H242" s="414">
        <v>7331423001606</v>
      </c>
      <c r="I242" s="414">
        <v>7331423001606</v>
      </c>
      <c r="J242" s="414">
        <v>7331423001606</v>
      </c>
      <c r="K242" s="414" t="s">
        <v>66</v>
      </c>
      <c r="L242" s="415" t="s">
        <v>148</v>
      </c>
      <c r="M242" s="415" t="s">
        <v>327</v>
      </c>
      <c r="N242" s="416">
        <v>9.99</v>
      </c>
      <c r="O242" s="417">
        <v>6</v>
      </c>
      <c r="P242" s="418">
        <v>72</v>
      </c>
      <c r="Q242" s="412">
        <f t="shared" si="107"/>
        <v>8.8184904873951031E-2</v>
      </c>
      <c r="R242" s="412">
        <v>2.8</v>
      </c>
      <c r="S242" s="412">
        <v>2.8</v>
      </c>
      <c r="T242" s="420">
        <v>1.2</v>
      </c>
      <c r="U242" s="419">
        <f t="shared" si="108"/>
        <v>0.12125424420168267</v>
      </c>
      <c r="V242" s="412">
        <v>4</v>
      </c>
      <c r="W242" s="412">
        <v>1</v>
      </c>
      <c r="X242" s="420">
        <v>7.8125</v>
      </c>
      <c r="Y242" s="419">
        <f t="shared" si="109"/>
        <v>0.87082593563026645</v>
      </c>
      <c r="Z242" s="412">
        <v>4.125</v>
      </c>
      <c r="AA242" s="412">
        <v>4.6875</v>
      </c>
      <c r="AB242" s="420">
        <v>8.5</v>
      </c>
      <c r="AC242" s="419">
        <v>18.2</v>
      </c>
      <c r="AD242" s="412">
        <v>14.25</v>
      </c>
      <c r="AE242" s="412">
        <v>8.875</v>
      </c>
      <c r="AF242" s="420">
        <v>17.5</v>
      </c>
      <c r="AG242" s="419">
        <f t="shared" si="110"/>
        <v>1.2807888454861112</v>
      </c>
      <c r="AH242" s="435" t="s">
        <v>1683</v>
      </c>
      <c r="AI242" s="410" t="s">
        <v>1684</v>
      </c>
      <c r="AJ242" s="424" t="s">
        <v>1685</v>
      </c>
      <c r="AK242" s="424" t="s">
        <v>1686</v>
      </c>
      <c r="AL242" s="421" t="s">
        <v>1687</v>
      </c>
      <c r="AM242" s="421" t="s">
        <v>1688</v>
      </c>
      <c r="AN242" s="435" t="s">
        <v>1960</v>
      </c>
      <c r="AO242" s="424" t="s">
        <v>1961</v>
      </c>
      <c r="AP242" s="436" t="s">
        <v>1962</v>
      </c>
      <c r="AQ242" s="410" t="s">
        <v>1839</v>
      </c>
      <c r="AR242" s="422" t="s">
        <v>1838</v>
      </c>
    </row>
    <row r="243" spans="1:44" s="16" customFormat="1" ht="13.8" x14ac:dyDescent="0.3">
      <c r="A243" s="16" t="s">
        <v>121</v>
      </c>
      <c r="B243" s="143"/>
      <c r="C243" s="35" t="s">
        <v>347</v>
      </c>
      <c r="D243" s="35" t="s">
        <v>95</v>
      </c>
      <c r="E243" s="18" t="s">
        <v>644</v>
      </c>
      <c r="F243" s="17" t="s">
        <v>111</v>
      </c>
      <c r="G243" s="17" t="s">
        <v>1507</v>
      </c>
      <c r="H243" s="80">
        <v>7331423001583</v>
      </c>
      <c r="I243" s="80">
        <v>7331423100439</v>
      </c>
      <c r="J243" s="80">
        <v>7331423200665</v>
      </c>
      <c r="K243" s="80">
        <v>17331423200662</v>
      </c>
      <c r="L243" s="29" t="s">
        <v>148</v>
      </c>
      <c r="M243" s="29" t="s">
        <v>327</v>
      </c>
      <c r="N243" s="6">
        <v>9.99</v>
      </c>
      <c r="O243" s="37">
        <v>6</v>
      </c>
      <c r="P243" s="228">
        <v>72</v>
      </c>
      <c r="Q243" s="35">
        <f t="shared" si="107"/>
        <v>8.8184904873951031E-2</v>
      </c>
      <c r="R243" s="35">
        <v>2.8</v>
      </c>
      <c r="S243" s="35">
        <v>2.8</v>
      </c>
      <c r="T243" s="72">
        <v>1.2</v>
      </c>
      <c r="U243" s="46">
        <f t="shared" si="108"/>
        <v>0.12125424420168267</v>
      </c>
      <c r="V243" s="35">
        <v>4</v>
      </c>
      <c r="W243" s="35">
        <v>1</v>
      </c>
      <c r="X243" s="72">
        <v>7.8125</v>
      </c>
      <c r="Y243" s="46">
        <f t="shared" si="109"/>
        <v>0.87082593563026645</v>
      </c>
      <c r="Z243" s="35">
        <v>4.125</v>
      </c>
      <c r="AA243" s="35">
        <v>4.6875</v>
      </c>
      <c r="AB243" s="72">
        <v>8.5</v>
      </c>
      <c r="AC243" s="46">
        <v>18.2</v>
      </c>
      <c r="AD243" s="35">
        <v>14.25</v>
      </c>
      <c r="AE243" s="35">
        <v>8.875</v>
      </c>
      <c r="AF243" s="72">
        <v>17.5</v>
      </c>
      <c r="AG243" s="44">
        <f t="shared" si="110"/>
        <v>1.2807888454861112</v>
      </c>
      <c r="AH243" s="26" t="s">
        <v>1683</v>
      </c>
      <c r="AI243" s="20" t="s">
        <v>1684</v>
      </c>
      <c r="AJ243" s="21" t="s">
        <v>1685</v>
      </c>
      <c r="AK243" s="21" t="s">
        <v>1686</v>
      </c>
      <c r="AL243" s="39" t="s">
        <v>1687</v>
      </c>
      <c r="AM243" s="39" t="s">
        <v>1688</v>
      </c>
      <c r="AN243" s="26" t="s">
        <v>1960</v>
      </c>
      <c r="AO243" s="21" t="s">
        <v>1961</v>
      </c>
      <c r="AP243" s="40" t="s">
        <v>1962</v>
      </c>
      <c r="AQ243" s="20" t="s">
        <v>1839</v>
      </c>
      <c r="AR243" s="97" t="s">
        <v>1838</v>
      </c>
    </row>
    <row r="244" spans="1:44" s="16" customFormat="1" ht="13.8" x14ac:dyDescent="0.3">
      <c r="A244" s="16" t="s">
        <v>121</v>
      </c>
      <c r="B244" s="143"/>
      <c r="C244" s="35" t="s">
        <v>347</v>
      </c>
      <c r="D244" s="35" t="s">
        <v>89</v>
      </c>
      <c r="E244" s="18" t="s">
        <v>644</v>
      </c>
      <c r="F244" s="17" t="s">
        <v>50</v>
      </c>
      <c r="G244" s="17" t="s">
        <v>1507</v>
      </c>
      <c r="H244" s="80">
        <v>7331423001637</v>
      </c>
      <c r="I244" s="80">
        <v>7331423100453</v>
      </c>
      <c r="J244" s="80">
        <v>7331423200689</v>
      </c>
      <c r="K244" s="80">
        <v>17331423200686</v>
      </c>
      <c r="L244" s="29" t="s">
        <v>148</v>
      </c>
      <c r="M244" s="29" t="s">
        <v>327</v>
      </c>
      <c r="N244" s="6">
        <v>9.99</v>
      </c>
      <c r="O244" s="37">
        <v>6</v>
      </c>
      <c r="P244" s="228">
        <v>72</v>
      </c>
      <c r="Q244" s="35">
        <f t="shared" si="107"/>
        <v>8.8184904873951031E-2</v>
      </c>
      <c r="R244" s="35">
        <v>2.8</v>
      </c>
      <c r="S244" s="35">
        <v>2.8</v>
      </c>
      <c r="T244" s="72">
        <v>1.2</v>
      </c>
      <c r="U244" s="46">
        <f t="shared" si="108"/>
        <v>0.12125424420168267</v>
      </c>
      <c r="V244" s="35">
        <v>4</v>
      </c>
      <c r="W244" s="35">
        <v>1</v>
      </c>
      <c r="X244" s="72">
        <v>7.8125</v>
      </c>
      <c r="Y244" s="46">
        <f t="shared" si="109"/>
        <v>0.87082593563026645</v>
      </c>
      <c r="Z244" s="35">
        <v>4.125</v>
      </c>
      <c r="AA244" s="35">
        <v>4.6875</v>
      </c>
      <c r="AB244" s="72">
        <v>8.5</v>
      </c>
      <c r="AC244" s="46">
        <v>18.2</v>
      </c>
      <c r="AD244" s="35">
        <v>14.25</v>
      </c>
      <c r="AE244" s="35">
        <v>8.875</v>
      </c>
      <c r="AF244" s="72">
        <v>17.5</v>
      </c>
      <c r="AG244" s="44">
        <f t="shared" si="110"/>
        <v>1.2807888454861112</v>
      </c>
      <c r="AH244" s="26" t="s">
        <v>1683</v>
      </c>
      <c r="AI244" s="20" t="s">
        <v>1684</v>
      </c>
      <c r="AJ244" s="21" t="s">
        <v>1685</v>
      </c>
      <c r="AK244" s="21" t="s">
        <v>1686</v>
      </c>
      <c r="AL244" s="39" t="s">
        <v>1687</v>
      </c>
      <c r="AM244" s="39" t="s">
        <v>1688</v>
      </c>
      <c r="AN244" s="26" t="s">
        <v>1960</v>
      </c>
      <c r="AO244" s="21" t="s">
        <v>1961</v>
      </c>
      <c r="AP244" s="40" t="s">
        <v>1962</v>
      </c>
      <c r="AQ244" s="20" t="s">
        <v>1839</v>
      </c>
      <c r="AR244" s="97" t="s">
        <v>1838</v>
      </c>
    </row>
    <row r="245" spans="1:44" s="16" customFormat="1" ht="13.8" x14ac:dyDescent="0.3">
      <c r="A245" s="16" t="s">
        <v>121</v>
      </c>
      <c r="B245" s="143"/>
      <c r="C245" s="35" t="s">
        <v>347</v>
      </c>
      <c r="D245" s="35" t="s">
        <v>92</v>
      </c>
      <c r="E245" s="18" t="s">
        <v>644</v>
      </c>
      <c r="F245" s="17" t="s">
        <v>51</v>
      </c>
      <c r="G245" s="17" t="s">
        <v>1507</v>
      </c>
      <c r="H245" s="80">
        <v>7331423001651</v>
      </c>
      <c r="I245" s="80">
        <v>7331423100460</v>
      </c>
      <c r="J245" s="80">
        <v>7331423200696</v>
      </c>
      <c r="K245" s="80">
        <v>17331423200693</v>
      </c>
      <c r="L245" s="29" t="s">
        <v>148</v>
      </c>
      <c r="M245" s="29" t="s">
        <v>327</v>
      </c>
      <c r="N245" s="6">
        <v>9.99</v>
      </c>
      <c r="O245" s="37">
        <v>6</v>
      </c>
      <c r="P245" s="228">
        <v>72</v>
      </c>
      <c r="Q245" s="35">
        <f t="shared" si="107"/>
        <v>8.8184904873951031E-2</v>
      </c>
      <c r="R245" s="35">
        <v>2.8</v>
      </c>
      <c r="S245" s="35">
        <v>2.8</v>
      </c>
      <c r="T245" s="72">
        <v>1.2</v>
      </c>
      <c r="U245" s="46">
        <f t="shared" si="108"/>
        <v>0.12125424420168267</v>
      </c>
      <c r="V245" s="35">
        <v>4</v>
      </c>
      <c r="W245" s="35">
        <v>1</v>
      </c>
      <c r="X245" s="72">
        <v>7.8125</v>
      </c>
      <c r="Y245" s="46">
        <f t="shared" si="109"/>
        <v>0.87082593563026645</v>
      </c>
      <c r="Z245" s="35">
        <v>4.125</v>
      </c>
      <c r="AA245" s="35">
        <v>4.6875</v>
      </c>
      <c r="AB245" s="72">
        <v>8.5</v>
      </c>
      <c r="AC245" s="46">
        <v>18.2</v>
      </c>
      <c r="AD245" s="35">
        <v>14.25</v>
      </c>
      <c r="AE245" s="35">
        <v>8.875</v>
      </c>
      <c r="AF245" s="72">
        <v>17.5</v>
      </c>
      <c r="AG245" s="44">
        <f t="shared" si="110"/>
        <v>1.2807888454861112</v>
      </c>
      <c r="AH245" s="26" t="s">
        <v>1683</v>
      </c>
      <c r="AI245" s="20" t="s">
        <v>1684</v>
      </c>
      <c r="AJ245" s="21" t="s">
        <v>1685</v>
      </c>
      <c r="AK245" s="21" t="s">
        <v>1686</v>
      </c>
      <c r="AL245" s="39" t="s">
        <v>1687</v>
      </c>
      <c r="AM245" s="39" t="s">
        <v>1688</v>
      </c>
      <c r="AN245" s="26" t="s">
        <v>1960</v>
      </c>
      <c r="AO245" s="21" t="s">
        <v>1961</v>
      </c>
      <c r="AP245" s="40" t="s">
        <v>1962</v>
      </c>
      <c r="AQ245" s="20" t="s">
        <v>1839</v>
      </c>
      <c r="AR245" s="97" t="s">
        <v>1838</v>
      </c>
    </row>
    <row r="246" spans="1:44" s="16" customFormat="1" ht="13.8" x14ac:dyDescent="0.3">
      <c r="A246" s="16" t="s">
        <v>121</v>
      </c>
      <c r="B246" s="143"/>
      <c r="C246" s="35" t="s">
        <v>347</v>
      </c>
      <c r="D246" s="35" t="s">
        <v>348</v>
      </c>
      <c r="E246" s="18" t="s">
        <v>644</v>
      </c>
      <c r="F246" s="17" t="s">
        <v>349</v>
      </c>
      <c r="G246" s="17" t="s">
        <v>1507</v>
      </c>
      <c r="H246" s="80">
        <v>7331423005925</v>
      </c>
      <c r="I246" s="80">
        <v>7331423100446</v>
      </c>
      <c r="J246" s="80">
        <v>7331423200672</v>
      </c>
      <c r="K246" s="80">
        <v>17331423200679</v>
      </c>
      <c r="L246" s="29" t="s">
        <v>148</v>
      </c>
      <c r="M246" s="29" t="s">
        <v>327</v>
      </c>
      <c r="N246" s="6">
        <v>9.99</v>
      </c>
      <c r="O246" s="37">
        <v>6</v>
      </c>
      <c r="P246" s="228">
        <v>72</v>
      </c>
      <c r="Q246" s="35">
        <f t="shared" si="107"/>
        <v>8.8184904873951031E-2</v>
      </c>
      <c r="R246" s="35">
        <v>2.8</v>
      </c>
      <c r="S246" s="35">
        <v>2.8</v>
      </c>
      <c r="T246" s="72">
        <v>1.2</v>
      </c>
      <c r="U246" s="46">
        <f t="shared" si="108"/>
        <v>0.12125424420168267</v>
      </c>
      <c r="V246" s="35">
        <v>4</v>
      </c>
      <c r="W246" s="35">
        <v>1</v>
      </c>
      <c r="X246" s="72">
        <v>7.8125</v>
      </c>
      <c r="Y246" s="46">
        <f t="shared" si="109"/>
        <v>0.87082593563026645</v>
      </c>
      <c r="Z246" s="35">
        <v>4.125</v>
      </c>
      <c r="AA246" s="35">
        <v>4.6875</v>
      </c>
      <c r="AB246" s="72">
        <v>8.5</v>
      </c>
      <c r="AC246" s="46">
        <v>18.2</v>
      </c>
      <c r="AD246" s="35">
        <v>14.25</v>
      </c>
      <c r="AE246" s="35">
        <v>8.875</v>
      </c>
      <c r="AF246" s="72">
        <v>17.5</v>
      </c>
      <c r="AG246" s="44">
        <f t="shared" si="110"/>
        <v>1.2807888454861112</v>
      </c>
      <c r="AH246" s="26" t="s">
        <v>1683</v>
      </c>
      <c r="AI246" s="20" t="s">
        <v>1684</v>
      </c>
      <c r="AJ246" s="21" t="s">
        <v>1685</v>
      </c>
      <c r="AK246" s="21" t="s">
        <v>1686</v>
      </c>
      <c r="AL246" s="39" t="s">
        <v>1687</v>
      </c>
      <c r="AM246" s="39" t="s">
        <v>1688</v>
      </c>
      <c r="AN246" s="26" t="s">
        <v>1960</v>
      </c>
      <c r="AO246" s="21" t="s">
        <v>1961</v>
      </c>
      <c r="AP246" s="40" t="s">
        <v>1962</v>
      </c>
      <c r="AQ246" s="20" t="s">
        <v>1839</v>
      </c>
      <c r="AR246" s="97" t="s">
        <v>1838</v>
      </c>
    </row>
    <row r="247" spans="1:44" s="16" customFormat="1" ht="13.8" x14ac:dyDescent="0.3">
      <c r="A247" s="16" t="s">
        <v>121</v>
      </c>
      <c r="B247" s="143"/>
      <c r="C247" s="35" t="s">
        <v>347</v>
      </c>
      <c r="D247" s="35" t="s">
        <v>784</v>
      </c>
      <c r="E247" s="18" t="s">
        <v>644</v>
      </c>
      <c r="F247" s="17" t="s">
        <v>882</v>
      </c>
      <c r="G247" s="17" t="s">
        <v>1507</v>
      </c>
      <c r="H247" s="80">
        <v>7331423008032</v>
      </c>
      <c r="I247" s="80">
        <v>7331423100422</v>
      </c>
      <c r="J247" s="80">
        <v>7331423200658</v>
      </c>
      <c r="K247" s="80">
        <v>17331423200655</v>
      </c>
      <c r="L247" s="29" t="s">
        <v>148</v>
      </c>
      <c r="M247" s="29" t="s">
        <v>327</v>
      </c>
      <c r="N247" s="6">
        <v>9.99</v>
      </c>
      <c r="O247" s="37">
        <v>6</v>
      </c>
      <c r="P247" s="228">
        <v>72</v>
      </c>
      <c r="Q247" s="35">
        <f t="shared" si="107"/>
        <v>8.8184904873951031E-2</v>
      </c>
      <c r="R247" s="35">
        <v>2.8</v>
      </c>
      <c r="S247" s="35">
        <v>2.8</v>
      </c>
      <c r="T247" s="72">
        <v>1.2</v>
      </c>
      <c r="U247" s="46">
        <f t="shared" si="108"/>
        <v>0.12125424420168267</v>
      </c>
      <c r="V247" s="35">
        <v>4</v>
      </c>
      <c r="W247" s="35">
        <v>1</v>
      </c>
      <c r="X247" s="72">
        <v>7.8125</v>
      </c>
      <c r="Y247" s="46">
        <f t="shared" si="109"/>
        <v>0.87082593563026645</v>
      </c>
      <c r="Z247" s="35">
        <v>4.125</v>
      </c>
      <c r="AA247" s="35">
        <v>4.6875</v>
      </c>
      <c r="AB247" s="72">
        <v>8.5</v>
      </c>
      <c r="AC247" s="46">
        <v>18.2</v>
      </c>
      <c r="AD247" s="35">
        <v>14.25</v>
      </c>
      <c r="AE247" s="35">
        <v>8.875</v>
      </c>
      <c r="AF247" s="72">
        <v>17.5</v>
      </c>
      <c r="AG247" s="44">
        <f t="shared" si="110"/>
        <v>1.2807888454861112</v>
      </c>
      <c r="AH247" s="26" t="s">
        <v>1683</v>
      </c>
      <c r="AI247" s="20" t="s">
        <v>1684</v>
      </c>
      <c r="AJ247" s="21" t="s">
        <v>1685</v>
      </c>
      <c r="AK247" s="21" t="s">
        <v>1686</v>
      </c>
      <c r="AL247" s="39" t="s">
        <v>1687</v>
      </c>
      <c r="AM247" s="39" t="s">
        <v>1688</v>
      </c>
      <c r="AN247" s="26" t="s">
        <v>1960</v>
      </c>
      <c r="AO247" s="21" t="s">
        <v>1961</v>
      </c>
      <c r="AP247" s="40" t="s">
        <v>1962</v>
      </c>
      <c r="AQ247" s="20" t="s">
        <v>1839</v>
      </c>
      <c r="AR247" s="97" t="s">
        <v>1838</v>
      </c>
    </row>
    <row r="248" spans="1:44" s="16" customFormat="1" ht="13.8" x14ac:dyDescent="0.3">
      <c r="A248" s="16" t="s">
        <v>121</v>
      </c>
      <c r="B248" s="143"/>
      <c r="C248" s="35" t="s">
        <v>347</v>
      </c>
      <c r="D248" s="35" t="s">
        <v>785</v>
      </c>
      <c r="E248" s="18" t="s">
        <v>644</v>
      </c>
      <c r="F248" s="17" t="s">
        <v>881</v>
      </c>
      <c r="G248" s="17" t="s">
        <v>1507</v>
      </c>
      <c r="H248" s="80">
        <v>7331423008025</v>
      </c>
      <c r="I248" s="80">
        <v>7331423100415</v>
      </c>
      <c r="J248" s="80">
        <v>7331423200641</v>
      </c>
      <c r="K248" s="80">
        <v>17331423200648</v>
      </c>
      <c r="L248" s="29" t="s">
        <v>148</v>
      </c>
      <c r="M248" s="29" t="s">
        <v>327</v>
      </c>
      <c r="N248" s="6">
        <v>9.99</v>
      </c>
      <c r="O248" s="37">
        <v>6</v>
      </c>
      <c r="P248" s="228">
        <v>72</v>
      </c>
      <c r="Q248" s="35">
        <f t="shared" si="107"/>
        <v>8.8184904873951031E-2</v>
      </c>
      <c r="R248" s="35">
        <v>2.8</v>
      </c>
      <c r="S248" s="35">
        <v>2.8</v>
      </c>
      <c r="T248" s="72">
        <v>1.2</v>
      </c>
      <c r="U248" s="46">
        <f t="shared" si="108"/>
        <v>0.12125424420168267</v>
      </c>
      <c r="V248" s="35">
        <v>4</v>
      </c>
      <c r="W248" s="35">
        <v>1</v>
      </c>
      <c r="X248" s="72">
        <v>7.8125</v>
      </c>
      <c r="Y248" s="46">
        <f t="shared" si="109"/>
        <v>0.87082593563026645</v>
      </c>
      <c r="Z248" s="35">
        <v>4.125</v>
      </c>
      <c r="AA248" s="35">
        <v>4.6875</v>
      </c>
      <c r="AB248" s="72">
        <v>8.5</v>
      </c>
      <c r="AC248" s="46">
        <v>18.2</v>
      </c>
      <c r="AD248" s="35">
        <v>14.25</v>
      </c>
      <c r="AE248" s="35">
        <v>8.875</v>
      </c>
      <c r="AF248" s="72">
        <v>17.5</v>
      </c>
      <c r="AG248" s="44">
        <f t="shared" si="110"/>
        <v>1.2807888454861112</v>
      </c>
      <c r="AH248" s="26" t="s">
        <v>1683</v>
      </c>
      <c r="AI248" s="20" t="s">
        <v>1684</v>
      </c>
      <c r="AJ248" s="21" t="s">
        <v>1685</v>
      </c>
      <c r="AK248" s="21" t="s">
        <v>1686</v>
      </c>
      <c r="AL248" s="39" t="s">
        <v>1687</v>
      </c>
      <c r="AM248" s="39" t="s">
        <v>1688</v>
      </c>
      <c r="AN248" s="26" t="s">
        <v>1960</v>
      </c>
      <c r="AO248" s="21" t="s">
        <v>1961</v>
      </c>
      <c r="AP248" s="40" t="s">
        <v>1962</v>
      </c>
      <c r="AQ248" s="20" t="s">
        <v>1839</v>
      </c>
      <c r="AR248" s="97" t="s">
        <v>1838</v>
      </c>
    </row>
    <row r="249" spans="1:44" s="16" customFormat="1" ht="13.8" x14ac:dyDescent="0.3">
      <c r="A249" s="16" t="s">
        <v>121</v>
      </c>
      <c r="B249" s="143"/>
      <c r="C249" s="35" t="s">
        <v>347</v>
      </c>
      <c r="D249" s="35" t="s">
        <v>786</v>
      </c>
      <c r="E249" s="18" t="s">
        <v>644</v>
      </c>
      <c r="F249" s="35" t="s">
        <v>1712</v>
      </c>
      <c r="G249" s="17" t="s">
        <v>1507</v>
      </c>
      <c r="H249" s="80">
        <v>7331423008056</v>
      </c>
      <c r="I249" s="452">
        <v>7331423100491</v>
      </c>
      <c r="J249" s="452">
        <v>7331423200726</v>
      </c>
      <c r="K249" s="80">
        <v>17331423200723</v>
      </c>
      <c r="L249" s="29" t="s">
        <v>148</v>
      </c>
      <c r="M249" s="29" t="s">
        <v>327</v>
      </c>
      <c r="N249" s="6">
        <v>9.99</v>
      </c>
      <c r="O249" s="37">
        <v>6</v>
      </c>
      <c r="P249" s="228">
        <v>72</v>
      </c>
      <c r="Q249" s="35">
        <f t="shared" si="107"/>
        <v>8.8184904873951031E-2</v>
      </c>
      <c r="R249" s="35">
        <v>2.8</v>
      </c>
      <c r="S249" s="35">
        <v>2.8</v>
      </c>
      <c r="T249" s="72">
        <v>1.2</v>
      </c>
      <c r="U249" s="46">
        <f t="shared" si="108"/>
        <v>0.12125424420168267</v>
      </c>
      <c r="V249" s="35">
        <v>4</v>
      </c>
      <c r="W249" s="35">
        <v>1</v>
      </c>
      <c r="X249" s="72">
        <v>7.8125</v>
      </c>
      <c r="Y249" s="46">
        <f t="shared" si="109"/>
        <v>0.87082593563026645</v>
      </c>
      <c r="Z249" s="35">
        <v>4.125</v>
      </c>
      <c r="AA249" s="35">
        <v>4.6875</v>
      </c>
      <c r="AB249" s="72">
        <v>8.5</v>
      </c>
      <c r="AC249" s="46">
        <v>18.2</v>
      </c>
      <c r="AD249" s="35">
        <v>14.25</v>
      </c>
      <c r="AE249" s="35">
        <v>8.875</v>
      </c>
      <c r="AF249" s="72">
        <v>17.5</v>
      </c>
      <c r="AG249" s="44">
        <f t="shared" si="110"/>
        <v>1.2807888454861112</v>
      </c>
      <c r="AH249" s="26" t="s">
        <v>1683</v>
      </c>
      <c r="AI249" s="20" t="s">
        <v>1684</v>
      </c>
      <c r="AJ249" s="21" t="s">
        <v>1685</v>
      </c>
      <c r="AK249" s="21" t="s">
        <v>1686</v>
      </c>
      <c r="AL249" s="39" t="s">
        <v>1687</v>
      </c>
      <c r="AM249" s="39" t="s">
        <v>1688</v>
      </c>
      <c r="AN249" s="26" t="s">
        <v>1960</v>
      </c>
      <c r="AO249" s="21" t="s">
        <v>1961</v>
      </c>
      <c r="AP249" s="40" t="s">
        <v>1962</v>
      </c>
      <c r="AQ249" s="20" t="s">
        <v>1839</v>
      </c>
      <c r="AR249" s="97" t="s">
        <v>1838</v>
      </c>
    </row>
    <row r="250" spans="1:44" s="20" customFormat="1" ht="13.8" x14ac:dyDescent="0.3">
      <c r="A250" s="410" t="s">
        <v>121</v>
      </c>
      <c r="B250" s="411"/>
      <c r="C250" s="412" t="s">
        <v>57</v>
      </c>
      <c r="D250" s="412" t="s">
        <v>58</v>
      </c>
      <c r="E250" s="413" t="s">
        <v>657</v>
      </c>
      <c r="F250" s="412" t="s">
        <v>1798</v>
      </c>
      <c r="G250" s="412" t="s">
        <v>1486</v>
      </c>
      <c r="H250" s="414">
        <v>7331423001873</v>
      </c>
      <c r="I250" s="414"/>
      <c r="J250" s="414"/>
      <c r="K250" s="414"/>
      <c r="L250" s="415" t="s">
        <v>148</v>
      </c>
      <c r="M250" s="415" t="s">
        <v>327</v>
      </c>
      <c r="N250" s="416">
        <v>9.99</v>
      </c>
      <c r="O250" s="417">
        <v>1</v>
      </c>
      <c r="P250" s="418">
        <v>1</v>
      </c>
      <c r="Q250" s="412">
        <f t="shared" si="107"/>
        <v>8.8184904873951031E-2</v>
      </c>
      <c r="R250" s="412">
        <v>2.8</v>
      </c>
      <c r="S250" s="412">
        <v>2.8</v>
      </c>
      <c r="T250" s="420">
        <v>1.2</v>
      </c>
      <c r="U250" s="419">
        <v>0.1</v>
      </c>
      <c r="V250" s="412">
        <v>2.75</v>
      </c>
      <c r="W250" s="412">
        <v>2.75</v>
      </c>
      <c r="X250" s="420">
        <v>1.2</v>
      </c>
      <c r="Y250" s="419"/>
      <c r="Z250" s="412"/>
      <c r="AA250" s="412"/>
      <c r="AB250" s="420"/>
      <c r="AC250" s="419">
        <v>5.6</v>
      </c>
      <c r="AD250" s="412">
        <v>8.1</v>
      </c>
      <c r="AE250" s="412">
        <v>8.1</v>
      </c>
      <c r="AF250" s="420">
        <v>7.3</v>
      </c>
      <c r="AG250" s="419">
        <f t="shared" si="110"/>
        <v>0.27717187500000001</v>
      </c>
      <c r="AH250" s="435" t="s">
        <v>1964</v>
      </c>
      <c r="AI250" s="435" t="s">
        <v>1683</v>
      </c>
      <c r="AJ250" s="410" t="s">
        <v>1963</v>
      </c>
      <c r="AK250" s="424" t="s">
        <v>1685</v>
      </c>
      <c r="AL250" s="424" t="s">
        <v>1686</v>
      </c>
      <c r="AM250" s="421" t="s">
        <v>1687</v>
      </c>
      <c r="AN250" s="435" t="s">
        <v>1960</v>
      </c>
      <c r="AO250" s="424" t="s">
        <v>1961</v>
      </c>
      <c r="AP250" s="436" t="s">
        <v>1962</v>
      </c>
      <c r="AQ250" s="410" t="s">
        <v>1839</v>
      </c>
      <c r="AR250" s="422" t="s">
        <v>1838</v>
      </c>
    </row>
    <row r="251" spans="1:44" s="20" customFormat="1" x14ac:dyDescent="0.25">
      <c r="B251" s="141"/>
      <c r="C251" s="35"/>
      <c r="D251" s="35" t="s">
        <v>128</v>
      </c>
      <c r="E251" s="21"/>
      <c r="F251" s="35"/>
      <c r="G251" s="35"/>
      <c r="H251" s="80"/>
      <c r="I251" s="80"/>
      <c r="J251" s="80"/>
      <c r="K251" s="80"/>
      <c r="L251" s="38"/>
      <c r="M251" s="38"/>
      <c r="N251" s="7"/>
      <c r="O251" s="37"/>
      <c r="P251" s="228"/>
      <c r="Q251" s="35"/>
      <c r="R251" s="35"/>
      <c r="S251" s="35"/>
      <c r="T251" s="72"/>
      <c r="U251" s="46"/>
      <c r="V251" s="35"/>
      <c r="W251" s="35"/>
      <c r="X251" s="72"/>
      <c r="Y251" s="46"/>
      <c r="Z251" s="35"/>
      <c r="AA251" s="35"/>
      <c r="AB251" s="72"/>
      <c r="AC251" s="46"/>
      <c r="AD251" s="35"/>
      <c r="AE251" s="35"/>
      <c r="AF251" s="72"/>
      <c r="AG251" s="46"/>
      <c r="AH251" s="39"/>
      <c r="AI251" s="39"/>
      <c r="AJ251" s="39"/>
      <c r="AP251" s="238"/>
      <c r="AQ251" s="97"/>
    </row>
    <row r="252" spans="1:44" s="257" customFormat="1" ht="15.6" x14ac:dyDescent="0.3">
      <c r="A252" s="108" t="s">
        <v>2219</v>
      </c>
      <c r="B252" s="370"/>
      <c r="C252" s="308"/>
      <c r="D252" s="35" t="s">
        <v>128</v>
      </c>
      <c r="H252" s="311"/>
      <c r="I252" s="311"/>
      <c r="J252" s="311"/>
      <c r="K252" s="311"/>
      <c r="M252" s="311"/>
      <c r="P252" s="278"/>
      <c r="Q252" s="286"/>
      <c r="R252" s="286"/>
      <c r="S252" s="286"/>
      <c r="T252" s="287"/>
      <c r="U252" s="252"/>
      <c r="V252" s="247"/>
      <c r="W252" s="247"/>
      <c r="X252" s="253"/>
      <c r="Y252" s="252"/>
      <c r="Z252" s="247"/>
      <c r="AA252" s="247"/>
      <c r="AB252" s="253"/>
      <c r="AC252" s="252"/>
      <c r="AD252" s="247"/>
      <c r="AE252" s="247"/>
      <c r="AF252" s="253"/>
      <c r="AG252" s="46"/>
    </row>
    <row r="253" spans="1:44" s="16" customFormat="1" ht="14.4" x14ac:dyDescent="0.3">
      <c r="A253" s="16" t="s">
        <v>121</v>
      </c>
      <c r="B253" s="141"/>
      <c r="C253" s="35" t="s">
        <v>2218</v>
      </c>
      <c r="D253" s="35" t="s">
        <v>88</v>
      </c>
      <c r="E253" s="18" t="s">
        <v>1820</v>
      </c>
      <c r="F253" s="35" t="s">
        <v>1822</v>
      </c>
      <c r="G253" s="135" t="s">
        <v>1518</v>
      </c>
      <c r="H253" s="293" t="s">
        <v>1823</v>
      </c>
      <c r="I253" s="293"/>
      <c r="J253" s="293"/>
      <c r="K253" s="293"/>
      <c r="L253" s="293" t="s">
        <v>148</v>
      </c>
      <c r="M253" s="29" t="s">
        <v>327</v>
      </c>
      <c r="N253" s="7">
        <v>34.99</v>
      </c>
      <c r="O253" s="137">
        <v>1</v>
      </c>
      <c r="P253" s="229">
        <v>12</v>
      </c>
      <c r="Q253" s="134">
        <f>CONVERT(381,"g","lbm")</f>
        <v>0.83996121892438358</v>
      </c>
      <c r="R253" s="135"/>
      <c r="S253" s="135"/>
      <c r="T253" s="136"/>
      <c r="U253" s="134">
        <f>CONVERT(436,"g","lbm")</f>
        <v>0.96121546312606621</v>
      </c>
      <c r="V253" s="135">
        <f>CONVERT(92,"mm","in")</f>
        <v>3.6220472440944884</v>
      </c>
      <c r="W253" s="135">
        <f>CONVERT(95,"mm","in")</f>
        <v>3.7401574803149606</v>
      </c>
      <c r="X253" s="136">
        <f>CONVERT(288,"mm","in")</f>
        <v>11.338582677165354</v>
      </c>
      <c r="Y253" s="134"/>
      <c r="Z253" s="135"/>
      <c r="AA253" s="135"/>
      <c r="AB253" s="136"/>
      <c r="AC253" s="134">
        <f>CONVERT(5632,"g","lbm")</f>
        <v>12.416434606252304</v>
      </c>
      <c r="AD253" s="135">
        <f>CONVERT(295,"mm","in")</f>
        <v>11.614173228346457</v>
      </c>
      <c r="AE253" s="135">
        <f>CONVERT(380,"mm","in")</f>
        <v>14.960629921259843</v>
      </c>
      <c r="AF253" s="136">
        <f>CONVERT(300,"mm","in")</f>
        <v>11.811023622047244</v>
      </c>
      <c r="AG253" s="46">
        <f>AD253*AE253*AF253/(12^3)</f>
        <v>1.1876322418436613</v>
      </c>
      <c r="AH253" s="20" t="s">
        <v>1974</v>
      </c>
      <c r="AI253" s="20" t="s">
        <v>1975</v>
      </c>
      <c r="AJ253" s="20" t="s">
        <v>1976</v>
      </c>
      <c r="AK253" s="20" t="s">
        <v>1977</v>
      </c>
      <c r="AL253" s="20" t="s">
        <v>1978</v>
      </c>
      <c r="AM253" s="20" t="s">
        <v>1972</v>
      </c>
      <c r="AN253" s="20" t="s">
        <v>1980</v>
      </c>
      <c r="AO253" s="20" t="s">
        <v>1979</v>
      </c>
      <c r="AP253" s="246" t="s">
        <v>1973</v>
      </c>
      <c r="AQ253" s="20" t="s">
        <v>1839</v>
      </c>
      <c r="AR253" s="97" t="s">
        <v>1838</v>
      </c>
    </row>
    <row r="254" spans="1:44" s="16" customFormat="1" ht="14.4" x14ac:dyDescent="0.3">
      <c r="A254" s="16" t="s">
        <v>121</v>
      </c>
      <c r="B254" s="141"/>
      <c r="C254" s="35" t="s">
        <v>2218</v>
      </c>
      <c r="D254" s="35" t="s">
        <v>91</v>
      </c>
      <c r="E254" s="18" t="s">
        <v>1820</v>
      </c>
      <c r="F254" s="35" t="s">
        <v>2631</v>
      </c>
      <c r="G254" s="135" t="s">
        <v>1518</v>
      </c>
      <c r="H254" s="293" t="s">
        <v>1824</v>
      </c>
      <c r="I254" s="293"/>
      <c r="J254" s="293"/>
      <c r="K254" s="293"/>
      <c r="L254" s="293" t="s">
        <v>148</v>
      </c>
      <c r="M254" s="29" t="s">
        <v>327</v>
      </c>
      <c r="N254" s="7">
        <v>34.99</v>
      </c>
      <c r="O254" s="137">
        <v>1</v>
      </c>
      <c r="P254" s="229">
        <v>12</v>
      </c>
      <c r="Q254" s="134">
        <f t="shared" ref="Q254:Q255" si="111">CONVERT(381,"g","lbm")</f>
        <v>0.83996121892438358</v>
      </c>
      <c r="R254" s="135"/>
      <c r="S254" s="135"/>
      <c r="T254" s="136"/>
      <c r="U254" s="134">
        <f>CONVERT(436,"g","lbm")</f>
        <v>0.96121546312606621</v>
      </c>
      <c r="V254" s="135">
        <f>CONVERT(92,"mm","in")</f>
        <v>3.6220472440944884</v>
      </c>
      <c r="W254" s="135">
        <f>CONVERT(95,"mm","in")</f>
        <v>3.7401574803149606</v>
      </c>
      <c r="X254" s="136">
        <f>CONVERT(288,"mm","in")</f>
        <v>11.338582677165354</v>
      </c>
      <c r="Y254" s="134"/>
      <c r="Z254" s="135"/>
      <c r="AA254" s="135"/>
      <c r="AB254" s="136"/>
      <c r="AC254" s="134">
        <f>CONVERT(5632,"g","lbm")</f>
        <v>12.416434606252304</v>
      </c>
      <c r="AD254" s="135">
        <f>CONVERT(295,"mm","in")</f>
        <v>11.614173228346457</v>
      </c>
      <c r="AE254" s="135">
        <f>CONVERT(380,"mm","in")</f>
        <v>14.960629921259843</v>
      </c>
      <c r="AF254" s="136">
        <f>CONVERT(300,"mm","in")</f>
        <v>11.811023622047244</v>
      </c>
      <c r="AG254" s="46">
        <f>AD254*AE254*AF254/(12^3)</f>
        <v>1.1876322418436613</v>
      </c>
      <c r="AH254" s="20" t="s">
        <v>1974</v>
      </c>
      <c r="AI254" s="20" t="s">
        <v>1975</v>
      </c>
      <c r="AJ254" s="20" t="s">
        <v>1976</v>
      </c>
      <c r="AK254" s="20" t="s">
        <v>1977</v>
      </c>
      <c r="AL254" s="20" t="s">
        <v>1978</v>
      </c>
      <c r="AM254" s="20" t="s">
        <v>1972</v>
      </c>
      <c r="AN254" s="20" t="s">
        <v>1980</v>
      </c>
      <c r="AO254" s="20" t="s">
        <v>1979</v>
      </c>
      <c r="AP254" s="246" t="s">
        <v>1973</v>
      </c>
      <c r="AQ254" s="20" t="s">
        <v>1839</v>
      </c>
      <c r="AR254" s="97" t="s">
        <v>1838</v>
      </c>
    </row>
    <row r="255" spans="1:44" s="16" customFormat="1" ht="14.4" x14ac:dyDescent="0.3">
      <c r="A255" s="16" t="s">
        <v>121</v>
      </c>
      <c r="B255" s="141"/>
      <c r="C255" s="35" t="s">
        <v>2218</v>
      </c>
      <c r="D255" s="35" t="s">
        <v>2682</v>
      </c>
      <c r="E255" s="18" t="s">
        <v>1820</v>
      </c>
      <c r="F255" s="35" t="s">
        <v>2266</v>
      </c>
      <c r="G255" s="135" t="s">
        <v>1518</v>
      </c>
      <c r="H255" s="293" t="s">
        <v>1825</v>
      </c>
      <c r="I255" s="293"/>
      <c r="J255" s="293"/>
      <c r="K255" s="293"/>
      <c r="L255" s="293" t="s">
        <v>148</v>
      </c>
      <c r="M255" s="29" t="s">
        <v>327</v>
      </c>
      <c r="N255" s="7">
        <v>34.99</v>
      </c>
      <c r="O255" s="137">
        <v>1</v>
      </c>
      <c r="P255" s="229">
        <v>12</v>
      </c>
      <c r="Q255" s="134">
        <f t="shared" si="111"/>
        <v>0.83996121892438358</v>
      </c>
      <c r="R255" s="135"/>
      <c r="S255" s="135"/>
      <c r="T255" s="136"/>
      <c r="U255" s="134">
        <f>CONVERT(436,"g","lbm")</f>
        <v>0.96121546312606621</v>
      </c>
      <c r="V255" s="135">
        <f>CONVERT(92,"mm","in")</f>
        <v>3.6220472440944884</v>
      </c>
      <c r="W255" s="135">
        <f>CONVERT(95,"mm","in")</f>
        <v>3.7401574803149606</v>
      </c>
      <c r="X255" s="136">
        <f>CONVERT(288,"mm","in")</f>
        <v>11.338582677165354</v>
      </c>
      <c r="Y255" s="134"/>
      <c r="Z255" s="135"/>
      <c r="AA255" s="135"/>
      <c r="AB255" s="136"/>
      <c r="AC255" s="134">
        <f>CONVERT(5632,"g","lbm")</f>
        <v>12.416434606252304</v>
      </c>
      <c r="AD255" s="135">
        <f>CONVERT(295,"mm","in")</f>
        <v>11.614173228346457</v>
      </c>
      <c r="AE255" s="135">
        <f>CONVERT(380,"mm","in")</f>
        <v>14.960629921259843</v>
      </c>
      <c r="AF255" s="136">
        <f>CONVERT(300,"mm","in")</f>
        <v>11.811023622047244</v>
      </c>
      <c r="AG255" s="46">
        <f>AD255*AE255*AF255/(12^3)</f>
        <v>1.1876322418436613</v>
      </c>
      <c r="AH255" s="20" t="s">
        <v>1974</v>
      </c>
      <c r="AI255" s="20" t="s">
        <v>1975</v>
      </c>
      <c r="AJ255" s="20" t="s">
        <v>1976</v>
      </c>
      <c r="AK255" s="20" t="s">
        <v>1977</v>
      </c>
      <c r="AL255" s="20" t="s">
        <v>1978</v>
      </c>
      <c r="AM255" s="20" t="s">
        <v>1972</v>
      </c>
      <c r="AN255" s="20" t="s">
        <v>1980</v>
      </c>
      <c r="AO255" s="20" t="s">
        <v>1979</v>
      </c>
      <c r="AP255" s="246" t="s">
        <v>1973</v>
      </c>
      <c r="AQ255" s="20" t="s">
        <v>1839</v>
      </c>
      <c r="AR255" s="97" t="s">
        <v>1838</v>
      </c>
    </row>
    <row r="256" spans="1:44" s="20" customFormat="1" x14ac:dyDescent="0.25">
      <c r="B256" s="141"/>
      <c r="C256" s="35"/>
      <c r="D256" s="35" t="s">
        <v>128</v>
      </c>
      <c r="E256" s="21"/>
      <c r="F256" s="35"/>
      <c r="G256" s="35"/>
      <c r="H256" s="80"/>
      <c r="I256" s="80"/>
      <c r="J256" s="80"/>
      <c r="K256" s="80"/>
      <c r="L256" s="38"/>
      <c r="M256" s="38"/>
      <c r="N256" s="7"/>
      <c r="O256" s="37"/>
      <c r="P256" s="228"/>
      <c r="Q256" s="35"/>
      <c r="R256" s="35"/>
      <c r="S256" s="35"/>
      <c r="T256" s="72"/>
      <c r="U256" s="46"/>
      <c r="V256" s="35"/>
      <c r="W256" s="35"/>
      <c r="X256" s="72"/>
      <c r="Y256" s="46"/>
      <c r="Z256" s="35"/>
      <c r="AA256" s="35"/>
      <c r="AB256" s="72"/>
      <c r="AC256" s="46"/>
      <c r="AD256" s="35"/>
      <c r="AE256" s="35"/>
      <c r="AF256" s="72"/>
      <c r="AG256" s="46"/>
      <c r="AH256" s="39"/>
      <c r="AI256" s="39"/>
      <c r="AJ256" s="39"/>
      <c r="AP256" s="238"/>
      <c r="AQ256" s="97"/>
    </row>
    <row r="257" spans="1:44" s="257" customFormat="1" ht="15.6" x14ac:dyDescent="0.3">
      <c r="A257" s="108" t="s">
        <v>931</v>
      </c>
      <c r="B257" s="370"/>
      <c r="C257" s="308"/>
      <c r="D257" s="35" t="s">
        <v>128</v>
      </c>
      <c r="H257" s="311"/>
      <c r="I257" s="311"/>
      <c r="J257" s="311"/>
      <c r="K257" s="311"/>
      <c r="M257" s="311"/>
      <c r="P257" s="278"/>
      <c r="Q257" s="286"/>
      <c r="R257" s="286"/>
      <c r="S257" s="286"/>
      <c r="T257" s="287"/>
      <c r="U257" s="252"/>
      <c r="V257" s="247"/>
      <c r="W257" s="247"/>
      <c r="X257" s="253"/>
      <c r="Y257" s="252"/>
      <c r="Z257" s="247"/>
      <c r="AA257" s="247"/>
      <c r="AB257" s="253"/>
      <c r="AC257" s="252"/>
      <c r="AD257" s="247"/>
      <c r="AE257" s="247"/>
      <c r="AF257" s="253"/>
      <c r="AG257" s="46"/>
    </row>
    <row r="258" spans="1:44" ht="13.8" x14ac:dyDescent="0.3">
      <c r="A258" s="16" t="s">
        <v>121</v>
      </c>
      <c r="B258" s="143"/>
      <c r="C258" s="107" t="s">
        <v>934</v>
      </c>
      <c r="D258" s="17" t="s">
        <v>128</v>
      </c>
      <c r="E258" s="69" t="s">
        <v>1803</v>
      </c>
      <c r="F258" s="20" t="s">
        <v>1762</v>
      </c>
      <c r="G258" s="22" t="s">
        <v>1487</v>
      </c>
      <c r="H258" s="117">
        <v>7331423009923</v>
      </c>
      <c r="I258" s="118">
        <v>7331423100491</v>
      </c>
      <c r="J258" s="118">
        <v>7331423201907</v>
      </c>
      <c r="K258" s="118">
        <v>17331423202017</v>
      </c>
      <c r="L258" s="29" t="s">
        <v>148</v>
      </c>
      <c r="M258" s="12" t="s">
        <v>327</v>
      </c>
      <c r="N258" s="8">
        <v>7.99</v>
      </c>
      <c r="O258" s="37">
        <v>36</v>
      </c>
      <c r="P258" s="279">
        <f>36*6</f>
        <v>216</v>
      </c>
      <c r="Q258" s="46">
        <v>0.1</v>
      </c>
      <c r="R258" s="35">
        <v>2.5625</v>
      </c>
      <c r="S258" s="35">
        <v>1.25</v>
      </c>
      <c r="T258" s="72">
        <v>8.3125</v>
      </c>
      <c r="U258" s="46">
        <f>CONVERT(1025,"g","lbm")</f>
        <v>2.2597381873949951</v>
      </c>
      <c r="V258" s="35">
        <v>9.25</v>
      </c>
      <c r="W258" s="35">
        <v>5.875</v>
      </c>
      <c r="X258" s="72">
        <v>7</v>
      </c>
      <c r="Y258" s="46" t="s">
        <v>66</v>
      </c>
      <c r="Z258" s="35" t="s">
        <v>66</v>
      </c>
      <c r="AA258" s="35" t="s">
        <v>66</v>
      </c>
      <c r="AB258" s="72" t="s">
        <v>66</v>
      </c>
      <c r="AC258" s="46">
        <v>14.2</v>
      </c>
      <c r="AD258" s="35">
        <v>12.25</v>
      </c>
      <c r="AE258" s="35">
        <v>9.625</v>
      </c>
      <c r="AF258" s="72">
        <v>12</v>
      </c>
      <c r="AG258" s="46">
        <f t="shared" ref="AG258:AG264" si="112">AD258*AE258*AF258/(12^3)</f>
        <v>0.81879340277777779</v>
      </c>
      <c r="AH258" s="39" t="s">
        <v>1965</v>
      </c>
      <c r="AI258" s="20" t="s">
        <v>1913</v>
      </c>
      <c r="AJ258" s="39" t="s">
        <v>875</v>
      </c>
      <c r="AK258" s="39" t="s">
        <v>1914</v>
      </c>
      <c r="AL258" s="39" t="s">
        <v>1889</v>
      </c>
      <c r="AM258" s="39" t="s">
        <v>680</v>
      </c>
      <c r="AN258" s="39" t="s">
        <v>1890</v>
      </c>
      <c r="AO258" s="39" t="s">
        <v>1915</v>
      </c>
      <c r="AP258" s="14" t="s">
        <v>1916</v>
      </c>
      <c r="AQ258" s="20" t="s">
        <v>1839</v>
      </c>
      <c r="AR258" s="97" t="s">
        <v>1838</v>
      </c>
    </row>
    <row r="259" spans="1:44" ht="13.8" x14ac:dyDescent="0.3">
      <c r="A259" s="16" t="s">
        <v>121</v>
      </c>
      <c r="B259" s="143"/>
      <c r="C259" s="258" t="s">
        <v>935</v>
      </c>
      <c r="D259" s="17" t="s">
        <v>128</v>
      </c>
      <c r="E259" s="69" t="s">
        <v>1804</v>
      </c>
      <c r="F259" s="22" t="s">
        <v>415</v>
      </c>
      <c r="G259" s="22" t="s">
        <v>1487</v>
      </c>
      <c r="H259" s="117">
        <v>7331423001668</v>
      </c>
      <c r="I259" s="118">
        <v>7331423100583</v>
      </c>
      <c r="J259" s="118">
        <v>7331423202195</v>
      </c>
      <c r="K259" s="118">
        <v>17331423202024</v>
      </c>
      <c r="L259" s="29" t="s">
        <v>1725</v>
      </c>
      <c r="M259" s="12" t="s">
        <v>325</v>
      </c>
      <c r="N259" s="8">
        <v>14.99</v>
      </c>
      <c r="O259" s="39">
        <v>18</v>
      </c>
      <c r="P259" s="279">
        <f>18*4</f>
        <v>72</v>
      </c>
      <c r="Q259" s="46">
        <v>7.0000000000000007E-2</v>
      </c>
      <c r="R259" s="35">
        <v>2.5</v>
      </c>
      <c r="S259" s="35">
        <v>1</v>
      </c>
      <c r="T259" s="72">
        <v>7.625</v>
      </c>
      <c r="U259" s="46">
        <v>2.8</v>
      </c>
      <c r="V259" s="35">
        <v>9.6</v>
      </c>
      <c r="W259" s="35">
        <v>8.6999999999999993</v>
      </c>
      <c r="X259" s="72">
        <v>9.4</v>
      </c>
      <c r="Y259" s="46" t="s">
        <v>66</v>
      </c>
      <c r="Z259" s="35" t="s">
        <v>66</v>
      </c>
      <c r="AA259" s="35" t="s">
        <v>66</v>
      </c>
      <c r="AB259" s="72" t="s">
        <v>66</v>
      </c>
      <c r="AC259" s="46">
        <v>13.5</v>
      </c>
      <c r="AD259" s="35">
        <v>15.75</v>
      </c>
      <c r="AE259" s="35">
        <v>20.5</v>
      </c>
      <c r="AF259" s="72">
        <v>11.5</v>
      </c>
      <c r="AG259" s="46">
        <f t="shared" si="112"/>
        <v>2.1487630208333335</v>
      </c>
      <c r="AH259" s="39" t="s">
        <v>1967</v>
      </c>
      <c r="AI259" s="14" t="s">
        <v>1</v>
      </c>
      <c r="AJ259" s="283" t="s">
        <v>1877</v>
      </c>
      <c r="AK259" s="283" t="s">
        <v>1878</v>
      </c>
      <c r="AL259" s="14" t="s">
        <v>1879</v>
      </c>
      <c r="AM259" s="283" t="s">
        <v>1880</v>
      </c>
      <c r="AN259" s="39" t="s">
        <v>1966</v>
      </c>
      <c r="AO259" s="14" t="s">
        <v>1882</v>
      </c>
      <c r="AP259" s="14" t="s">
        <v>1883</v>
      </c>
      <c r="AQ259" s="97" t="s">
        <v>1838</v>
      </c>
    </row>
    <row r="260" spans="1:44" ht="13.8" x14ac:dyDescent="0.3">
      <c r="A260" s="16" t="s">
        <v>121</v>
      </c>
      <c r="B260" s="143"/>
      <c r="C260" s="258" t="s">
        <v>936</v>
      </c>
      <c r="D260" s="17"/>
      <c r="E260" s="69" t="s">
        <v>1805</v>
      </c>
      <c r="F260" s="35" t="s">
        <v>1712</v>
      </c>
      <c r="G260" s="22" t="s">
        <v>1487</v>
      </c>
      <c r="H260" s="118">
        <v>7331423009916</v>
      </c>
      <c r="I260" s="118">
        <v>7331423100590</v>
      </c>
      <c r="J260" s="118">
        <v>7331423201174</v>
      </c>
      <c r="K260" s="118">
        <v>17331423202031</v>
      </c>
      <c r="L260" s="29" t="s">
        <v>148</v>
      </c>
      <c r="M260" s="12" t="s">
        <v>327</v>
      </c>
      <c r="N260" s="8">
        <v>2.99</v>
      </c>
      <c r="O260" s="37">
        <v>120</v>
      </c>
      <c r="P260" s="279">
        <f>120*6</f>
        <v>720</v>
      </c>
      <c r="Q260" s="101">
        <f>CONVERT(10,"g","lbm")</f>
        <v>2.2046226218487758E-2</v>
      </c>
      <c r="R260" s="102">
        <v>6.5</v>
      </c>
      <c r="S260" s="102">
        <v>1.375</v>
      </c>
      <c r="T260" s="103">
        <v>0.75</v>
      </c>
      <c r="U260" s="46">
        <v>3.2</v>
      </c>
      <c r="V260" s="35">
        <v>10.5</v>
      </c>
      <c r="W260" s="35">
        <v>6.75</v>
      </c>
      <c r="X260" s="72">
        <v>8.3125</v>
      </c>
      <c r="Y260" s="46" t="s">
        <v>66</v>
      </c>
      <c r="Z260" s="35" t="s">
        <v>66</v>
      </c>
      <c r="AA260" s="35" t="s">
        <v>66</v>
      </c>
      <c r="AB260" s="72" t="s">
        <v>66</v>
      </c>
      <c r="AC260" s="46">
        <v>20.05</v>
      </c>
      <c r="AD260" s="35">
        <v>14.25</v>
      </c>
      <c r="AE260" s="35">
        <v>11</v>
      </c>
      <c r="AF260" s="72">
        <v>14.25</v>
      </c>
      <c r="AG260" s="46">
        <f t="shared" si="112"/>
        <v>1.2926432291666667</v>
      </c>
      <c r="AH260" s="39" t="s">
        <v>1968</v>
      </c>
      <c r="AI260" s="39" t="s">
        <v>1887</v>
      </c>
      <c r="AJ260" s="39" t="s">
        <v>875</v>
      </c>
      <c r="AK260" s="39" t="s">
        <v>1888</v>
      </c>
      <c r="AL260" s="39" t="s">
        <v>1889</v>
      </c>
      <c r="AM260" s="39" t="s">
        <v>680</v>
      </c>
      <c r="AN260" s="39" t="s">
        <v>1890</v>
      </c>
      <c r="AO260" s="39" t="s">
        <v>1891</v>
      </c>
      <c r="AP260" s="39" t="s">
        <v>109</v>
      </c>
      <c r="AQ260" s="20" t="s">
        <v>1839</v>
      </c>
      <c r="AR260" s="97" t="s">
        <v>1838</v>
      </c>
    </row>
    <row r="261" spans="1:44" ht="13.8" x14ac:dyDescent="0.3">
      <c r="A261" s="16" t="s">
        <v>121</v>
      </c>
      <c r="B261" s="143"/>
      <c r="C261" s="258" t="s">
        <v>933</v>
      </c>
      <c r="D261" s="17"/>
      <c r="E261" s="69" t="s">
        <v>1806</v>
      </c>
      <c r="F261" s="35" t="s">
        <v>1712</v>
      </c>
      <c r="G261" s="22" t="s">
        <v>1487</v>
      </c>
      <c r="H261" s="117">
        <v>7331423009862</v>
      </c>
      <c r="I261" s="118">
        <v>7331423100392</v>
      </c>
      <c r="J261" s="118">
        <v>7331423200948</v>
      </c>
      <c r="K261" s="118">
        <v>17331423201980</v>
      </c>
      <c r="L261" s="29" t="s">
        <v>364</v>
      </c>
      <c r="M261" s="12" t="s">
        <v>327</v>
      </c>
      <c r="N261" s="8">
        <v>4.99</v>
      </c>
      <c r="O261" s="39">
        <v>24</v>
      </c>
      <c r="P261" s="279">
        <f>24*6</f>
        <v>144</v>
      </c>
      <c r="Q261" s="46">
        <f>CONVERT(18,"g","lbm")</f>
        <v>3.9683207193277961E-2</v>
      </c>
      <c r="R261" s="35">
        <v>1.9</v>
      </c>
      <c r="S261" s="35">
        <v>0.8</v>
      </c>
      <c r="T261" s="72">
        <v>3.9</v>
      </c>
      <c r="U261" s="46">
        <f>CONVERT(595,"g","lbm")</f>
        <v>1.3117504600000216</v>
      </c>
      <c r="V261" s="35">
        <v>10.5</v>
      </c>
      <c r="W261" s="35">
        <v>6.875</v>
      </c>
      <c r="X261" s="72">
        <v>8.25</v>
      </c>
      <c r="Y261" s="46" t="s">
        <v>66</v>
      </c>
      <c r="Z261" s="35" t="s">
        <v>66</v>
      </c>
      <c r="AA261" s="35" t="s">
        <v>66</v>
      </c>
      <c r="AB261" s="72" t="s">
        <v>66</v>
      </c>
      <c r="AC261" s="46">
        <v>8.5500000000000007</v>
      </c>
      <c r="AD261" s="35">
        <v>14.5</v>
      </c>
      <c r="AE261" s="35">
        <v>10.875</v>
      </c>
      <c r="AF261" s="72">
        <v>14.375</v>
      </c>
      <c r="AG261" s="46">
        <f t="shared" si="112"/>
        <v>1.3117811414930556</v>
      </c>
      <c r="AH261" s="39" t="s">
        <v>1969</v>
      </c>
      <c r="AI261" s="39" t="s">
        <v>877</v>
      </c>
      <c r="AJ261" s="39" t="s">
        <v>798</v>
      </c>
      <c r="AK261" s="39" t="s">
        <v>878</v>
      </c>
      <c r="AL261" s="39" t="s">
        <v>879</v>
      </c>
      <c r="AM261" s="39" t="s">
        <v>880</v>
      </c>
      <c r="AN261" s="39" t="s">
        <v>1872</v>
      </c>
      <c r="AO261" s="39"/>
      <c r="AP261" s="39" t="s">
        <v>1871</v>
      </c>
      <c r="AQ261" s="20" t="s">
        <v>1839</v>
      </c>
      <c r="AR261" s="97" t="s">
        <v>1838</v>
      </c>
    </row>
    <row r="262" spans="1:44" ht="13.8" x14ac:dyDescent="0.3">
      <c r="A262" s="16" t="s">
        <v>121</v>
      </c>
      <c r="B262" s="143"/>
      <c r="C262" s="258" t="s">
        <v>932</v>
      </c>
      <c r="D262" s="17"/>
      <c r="E262" s="69" t="s">
        <v>1807</v>
      </c>
      <c r="F262" s="35" t="s">
        <v>1700</v>
      </c>
      <c r="G262" s="22" t="s">
        <v>1487</v>
      </c>
      <c r="H262" s="117">
        <v>7331423009893</v>
      </c>
      <c r="I262" s="118">
        <v>7331423100309</v>
      </c>
      <c r="J262" s="118">
        <v>7331423200832</v>
      </c>
      <c r="K262" s="118">
        <v>17331423201966</v>
      </c>
      <c r="L262" s="29" t="s">
        <v>364</v>
      </c>
      <c r="M262" s="12" t="s">
        <v>327</v>
      </c>
      <c r="N262" s="8">
        <v>14.99</v>
      </c>
      <c r="O262" s="37">
        <v>16</v>
      </c>
      <c r="P262" s="279">
        <f>16*6</f>
        <v>96</v>
      </c>
      <c r="Q262" s="35">
        <f>CONVERT(27,"g","lbm")</f>
        <v>5.9524810789916942E-2</v>
      </c>
      <c r="R262" s="35">
        <f>CONVERT(24,"mm","in")</f>
        <v>0.94488188976377963</v>
      </c>
      <c r="S262" s="35">
        <f>CONVERT(14,"mm","in")</f>
        <v>0.55118110236220474</v>
      </c>
      <c r="T262" s="72">
        <f>CONVERT(77,"mm","in")</f>
        <v>3.0314960629921264</v>
      </c>
      <c r="U262" s="46">
        <v>1.7</v>
      </c>
      <c r="V262" s="35">
        <v>9.375</v>
      </c>
      <c r="W262" s="35">
        <v>5.875</v>
      </c>
      <c r="X262" s="72">
        <v>7.25</v>
      </c>
      <c r="Y262" s="46" t="s">
        <v>66</v>
      </c>
      <c r="Z262" s="35" t="s">
        <v>66</v>
      </c>
      <c r="AA262" s="35" t="s">
        <v>66</v>
      </c>
      <c r="AB262" s="72" t="s">
        <v>66</v>
      </c>
      <c r="AC262" s="46">
        <v>10.8</v>
      </c>
      <c r="AD262" s="35">
        <v>12.375</v>
      </c>
      <c r="AE262" s="35">
        <v>9.75</v>
      </c>
      <c r="AF262" s="72">
        <v>11.875</v>
      </c>
      <c r="AG262" s="46">
        <f t="shared" si="112"/>
        <v>0.82916259765625</v>
      </c>
      <c r="AH262" s="39" t="s">
        <v>1970</v>
      </c>
      <c r="AI262" s="39" t="s">
        <v>1836</v>
      </c>
      <c r="AJ262" s="39" t="s">
        <v>1846</v>
      </c>
      <c r="AK262" s="39" t="s">
        <v>1847</v>
      </c>
      <c r="AL262" s="20" t="s">
        <v>1848</v>
      </c>
      <c r="AM262" s="42" t="s">
        <v>1849</v>
      </c>
      <c r="AN262" s="42" t="s">
        <v>1850</v>
      </c>
      <c r="AO262" s="42" t="s">
        <v>1851</v>
      </c>
      <c r="AP262" s="39" t="s">
        <v>1854</v>
      </c>
      <c r="AQ262" s="20" t="s">
        <v>1839</v>
      </c>
      <c r="AR262" s="97" t="s">
        <v>1838</v>
      </c>
    </row>
    <row r="263" spans="1:44" s="39" customFormat="1" ht="13.8" x14ac:dyDescent="0.3">
      <c r="A263" s="20" t="s">
        <v>121</v>
      </c>
      <c r="C263" s="39" t="s">
        <v>1800</v>
      </c>
      <c r="E263" s="39" t="s">
        <v>1810</v>
      </c>
      <c r="F263" s="35" t="s">
        <v>1700</v>
      </c>
      <c r="G263" s="39" t="s">
        <v>1487</v>
      </c>
      <c r="H263" s="401">
        <v>7331423010103</v>
      </c>
      <c r="I263" s="401">
        <v>7331423101702</v>
      </c>
      <c r="J263" s="401">
        <v>7331423202409</v>
      </c>
      <c r="K263" s="401">
        <v>17331423202482</v>
      </c>
      <c r="L263" s="38" t="s">
        <v>148</v>
      </c>
      <c r="M263" s="296" t="s">
        <v>327</v>
      </c>
      <c r="N263" s="260">
        <v>2.99</v>
      </c>
      <c r="O263" s="178">
        <v>80</v>
      </c>
      <c r="P263" s="231"/>
      <c r="Q263" s="101">
        <f>CONVERT(10,"g","lbm")</f>
        <v>2.2046226218487758E-2</v>
      </c>
      <c r="R263" s="102">
        <v>6.5</v>
      </c>
      <c r="S263" s="102">
        <v>1.375</v>
      </c>
      <c r="T263" s="103">
        <v>0.75</v>
      </c>
      <c r="U263" s="46">
        <f>CONVERT(0.0098,"kg","lbm")</f>
        <v>2.1605301694118003E-2</v>
      </c>
      <c r="V263" s="35">
        <f>CONVERT(37,"mm","in")</f>
        <v>1.4566929133858268</v>
      </c>
      <c r="W263" s="35">
        <f>CONVERT(15,"mm","in")</f>
        <v>0.59055118110236215</v>
      </c>
      <c r="X263" s="72">
        <f>CONVERT(170,"mm","in")</f>
        <v>6.6929133858267713</v>
      </c>
      <c r="Y263" s="314"/>
      <c r="Z263" s="266"/>
      <c r="AA263" s="266"/>
      <c r="AB263" s="315"/>
      <c r="AC263" s="314"/>
      <c r="AD263" s="266"/>
      <c r="AE263" s="266"/>
      <c r="AF263" s="315"/>
      <c r="AG263" s="46">
        <f t="shared" si="112"/>
        <v>0</v>
      </c>
      <c r="AH263" s="39" t="s">
        <v>1971</v>
      </c>
      <c r="AI263" s="39" t="s">
        <v>1887</v>
      </c>
      <c r="AJ263" s="39" t="s">
        <v>875</v>
      </c>
      <c r="AK263" s="39" t="s">
        <v>1888</v>
      </c>
      <c r="AL263" s="39" t="s">
        <v>1889</v>
      </c>
      <c r="AM263" s="39" t="s">
        <v>680</v>
      </c>
      <c r="AN263" s="39" t="s">
        <v>1890</v>
      </c>
      <c r="AO263" s="39" t="s">
        <v>1891</v>
      </c>
      <c r="AP263" s="39" t="s">
        <v>109</v>
      </c>
      <c r="AQ263" s="20" t="s">
        <v>1839</v>
      </c>
      <c r="AR263" s="97" t="s">
        <v>1838</v>
      </c>
    </row>
    <row r="264" spans="1:44" s="39" customFormat="1" ht="13.8" x14ac:dyDescent="0.3">
      <c r="A264" s="20" t="s">
        <v>121</v>
      </c>
      <c r="C264" s="39" t="s">
        <v>1801</v>
      </c>
      <c r="E264" s="39" t="s">
        <v>1810</v>
      </c>
      <c r="F264" s="35" t="s">
        <v>1811</v>
      </c>
      <c r="G264" s="39" t="s">
        <v>1487</v>
      </c>
      <c r="H264" s="401">
        <v>7331423010097</v>
      </c>
      <c r="I264" s="401">
        <v>7331423101696</v>
      </c>
      <c r="J264" s="401">
        <v>7331423202393</v>
      </c>
      <c r="K264" s="401">
        <v>17331423202475</v>
      </c>
      <c r="L264" s="38" t="s">
        <v>148</v>
      </c>
      <c r="M264" s="296" t="s">
        <v>327</v>
      </c>
      <c r="N264" s="260">
        <v>2.99</v>
      </c>
      <c r="O264" s="178">
        <v>80</v>
      </c>
      <c r="P264" s="231"/>
      <c r="Q264" s="101">
        <f>CONVERT(10,"g","lbm")</f>
        <v>2.2046226218487758E-2</v>
      </c>
      <c r="R264" s="102">
        <v>6.5</v>
      </c>
      <c r="S264" s="102">
        <v>1.375</v>
      </c>
      <c r="T264" s="103">
        <v>0.75</v>
      </c>
      <c r="U264" s="46">
        <f>CONVERT(0.0098,"kg","lbm")</f>
        <v>2.1605301694118003E-2</v>
      </c>
      <c r="V264" s="35">
        <f>CONVERT(37,"mm","in")</f>
        <v>1.4566929133858268</v>
      </c>
      <c r="W264" s="35">
        <f>CONVERT(15,"mm","in")</f>
        <v>0.59055118110236215</v>
      </c>
      <c r="X264" s="72">
        <f>CONVERT(170,"mm","in")</f>
        <v>6.6929133858267713</v>
      </c>
      <c r="Y264" s="314"/>
      <c r="Z264" s="266"/>
      <c r="AA264" s="266"/>
      <c r="AB264" s="315"/>
      <c r="AC264" s="314"/>
      <c r="AD264" s="266"/>
      <c r="AE264" s="266"/>
      <c r="AF264" s="315"/>
      <c r="AG264" s="46">
        <f t="shared" si="112"/>
        <v>0</v>
      </c>
      <c r="AH264" s="39" t="s">
        <v>1971</v>
      </c>
      <c r="AI264" s="39" t="s">
        <v>1887</v>
      </c>
      <c r="AJ264" s="39" t="s">
        <v>875</v>
      </c>
      <c r="AK264" s="39" t="s">
        <v>1888</v>
      </c>
      <c r="AL264" s="39" t="s">
        <v>1889</v>
      </c>
      <c r="AM264" s="39" t="s">
        <v>680</v>
      </c>
      <c r="AN264" s="39" t="s">
        <v>1890</v>
      </c>
      <c r="AO264" s="39" t="s">
        <v>1891</v>
      </c>
      <c r="AP264" s="39" t="s">
        <v>109</v>
      </c>
      <c r="AQ264" s="20" t="s">
        <v>1839</v>
      </c>
      <c r="AR264" s="97" t="s">
        <v>1838</v>
      </c>
    </row>
    <row r="265" spans="1:44" s="39" customFormat="1" x14ac:dyDescent="0.25">
      <c r="A265" s="20"/>
      <c r="B265" s="141"/>
      <c r="C265" s="258"/>
      <c r="D265" s="35" t="s">
        <v>128</v>
      </c>
      <c r="E265" s="259"/>
      <c r="H265" s="118"/>
      <c r="I265" s="118"/>
      <c r="J265" s="118"/>
      <c r="K265" s="118"/>
      <c r="L265" s="38"/>
      <c r="M265" s="296"/>
      <c r="N265" s="260"/>
      <c r="P265" s="279"/>
      <c r="Q265" s="177"/>
      <c r="R265" s="177"/>
      <c r="S265" s="177"/>
      <c r="T265" s="227"/>
      <c r="U265" s="46"/>
      <c r="V265" s="35"/>
      <c r="W265" s="35"/>
      <c r="X265" s="72"/>
      <c r="Y265" s="46"/>
      <c r="Z265" s="35"/>
      <c r="AA265" s="35"/>
      <c r="AB265" s="72"/>
      <c r="AC265" s="46"/>
      <c r="AD265" s="35"/>
      <c r="AE265" s="35"/>
      <c r="AF265" s="72"/>
      <c r="AG265" s="46"/>
    </row>
    <row r="266" spans="1:44" s="257" customFormat="1" ht="15.6" x14ac:dyDescent="0.25">
      <c r="A266" s="399" t="s">
        <v>1697</v>
      </c>
      <c r="B266" s="399"/>
      <c r="C266" s="399"/>
      <c r="D266" s="247" t="s">
        <v>128</v>
      </c>
      <c r="E266" s="405"/>
      <c r="H266" s="310"/>
      <c r="I266" s="310"/>
      <c r="J266" s="310"/>
      <c r="K266" s="310"/>
      <c r="L266" s="249"/>
      <c r="M266" s="311"/>
      <c r="P266" s="278"/>
      <c r="Q266" s="286"/>
      <c r="R266" s="286"/>
      <c r="S266" s="286"/>
      <c r="T266" s="287"/>
      <c r="U266" s="252"/>
      <c r="V266" s="247"/>
      <c r="W266" s="247"/>
      <c r="X266" s="253"/>
      <c r="Y266" s="252"/>
      <c r="Z266" s="247"/>
      <c r="AA266" s="247"/>
      <c r="AB266" s="253"/>
      <c r="AC266" s="252"/>
      <c r="AD266" s="247"/>
      <c r="AE266" s="247"/>
      <c r="AF266" s="253"/>
      <c r="AG266" s="46"/>
    </row>
    <row r="267" spans="1:44" ht="13.8" x14ac:dyDescent="0.3">
      <c r="A267" s="410" t="s">
        <v>121</v>
      </c>
      <c r="B267" s="411"/>
      <c r="C267" s="513" t="s">
        <v>1095</v>
      </c>
      <c r="D267" s="412" t="s">
        <v>128</v>
      </c>
      <c r="E267" s="432" t="s">
        <v>1808</v>
      </c>
      <c r="F267" s="421" t="s">
        <v>1799</v>
      </c>
      <c r="G267" s="421" t="s">
        <v>1487</v>
      </c>
      <c r="H267" s="514">
        <v>7331423007851</v>
      </c>
      <c r="I267" s="514" t="s">
        <v>66</v>
      </c>
      <c r="J267" s="514">
        <v>7331423200825</v>
      </c>
      <c r="K267" s="514">
        <v>17331423201959</v>
      </c>
      <c r="L267" s="425" t="s">
        <v>364</v>
      </c>
      <c r="M267" s="515" t="s">
        <v>327</v>
      </c>
      <c r="N267" s="516">
        <v>22.99</v>
      </c>
      <c r="O267" s="421">
        <v>1</v>
      </c>
      <c r="P267" s="517">
        <v>24</v>
      </c>
      <c r="Q267" s="518">
        <v>0.2</v>
      </c>
      <c r="R267" s="518" t="s">
        <v>66</v>
      </c>
      <c r="S267" s="518" t="s">
        <v>66</v>
      </c>
      <c r="T267" s="519" t="s">
        <v>66</v>
      </c>
      <c r="U267" s="419">
        <f>CONVERT(3490,"g","lbm")</f>
        <v>7.6941329502522269</v>
      </c>
      <c r="V267" s="412">
        <v>13.25</v>
      </c>
      <c r="W267" s="412">
        <v>10.25</v>
      </c>
      <c r="X267" s="420">
        <v>18.75</v>
      </c>
      <c r="Y267" s="419" t="s">
        <v>66</v>
      </c>
      <c r="Z267" s="412" t="s">
        <v>66</v>
      </c>
      <c r="AA267" s="412" t="s">
        <v>66</v>
      </c>
      <c r="AB267" s="420" t="s">
        <v>66</v>
      </c>
      <c r="AC267" s="419">
        <f>CONVERT(3720,"g","lbm")</f>
        <v>8.2011961532774453</v>
      </c>
      <c r="AD267" s="412">
        <v>13.75</v>
      </c>
      <c r="AE267" s="412">
        <v>10.75</v>
      </c>
      <c r="AF267" s="420">
        <v>12.5</v>
      </c>
      <c r="AG267" s="419">
        <f>AD267*AE267*AF267/(12^3)</f>
        <v>1.0692455150462963</v>
      </c>
      <c r="AH267" s="421" t="s">
        <v>2216</v>
      </c>
      <c r="AI267" s="421"/>
      <c r="AJ267" s="421"/>
      <c r="AK267" s="421"/>
      <c r="AL267" s="421"/>
      <c r="AM267" s="421"/>
      <c r="AN267" s="421"/>
      <c r="AO267" s="421"/>
      <c r="AP267" s="410" t="s">
        <v>1839</v>
      </c>
      <c r="AQ267" s="422" t="s">
        <v>1838</v>
      </c>
      <c r="AR267" s="421"/>
    </row>
    <row r="268" spans="1:44" ht="13.8" x14ac:dyDescent="0.3">
      <c r="A268" s="16" t="s">
        <v>121</v>
      </c>
      <c r="B268" s="141"/>
      <c r="C268" s="258" t="s">
        <v>1802</v>
      </c>
      <c r="D268" s="17"/>
      <c r="E268" s="69" t="s">
        <v>1809</v>
      </c>
      <c r="F268" s="39" t="s">
        <v>1830</v>
      </c>
      <c r="G268" s="22" t="s">
        <v>1487</v>
      </c>
      <c r="H268" s="118">
        <v>7331423009961</v>
      </c>
      <c r="I268" s="118" t="s">
        <v>66</v>
      </c>
      <c r="J268" s="118">
        <v>7331423202201</v>
      </c>
      <c r="K268" s="118">
        <v>17331423202390</v>
      </c>
      <c r="L268" s="38" t="s">
        <v>148</v>
      </c>
      <c r="M268" s="296" t="s">
        <v>327</v>
      </c>
      <c r="N268" s="260">
        <v>24.99</v>
      </c>
      <c r="O268" s="39">
        <v>1</v>
      </c>
      <c r="P268" s="279">
        <v>24</v>
      </c>
      <c r="Q268" s="101">
        <f>CONVERT(50,"g","lbm")</f>
        <v>0.11023113109243879</v>
      </c>
      <c r="R268" s="177" t="s">
        <v>66</v>
      </c>
      <c r="S268" s="177" t="s">
        <v>66</v>
      </c>
      <c r="T268" s="227" t="s">
        <v>66</v>
      </c>
      <c r="U268" s="46">
        <f>CONVERT(70,"g","lbm")</f>
        <v>0.1543235835294143</v>
      </c>
      <c r="V268" s="35">
        <v>2.75</v>
      </c>
      <c r="W268" s="35">
        <v>1.5</v>
      </c>
      <c r="X268" s="72">
        <v>8.5</v>
      </c>
      <c r="Y268" s="46">
        <v>4.26</v>
      </c>
      <c r="Z268" s="35">
        <v>11.75</v>
      </c>
      <c r="AA268" s="35">
        <v>9.5</v>
      </c>
      <c r="AB268" s="72">
        <v>15</v>
      </c>
      <c r="AC268" s="46">
        <v>4.7699999999999996</v>
      </c>
      <c r="AD268" s="35">
        <v>12.125</v>
      </c>
      <c r="AE268" s="35">
        <v>10.25</v>
      </c>
      <c r="AF268" s="72">
        <v>9.5</v>
      </c>
      <c r="AG268" s="46">
        <f>AD268*AE268*AF268/(12^3)</f>
        <v>0.68325918692129628</v>
      </c>
      <c r="AH268" s="39" t="s">
        <v>2217</v>
      </c>
      <c r="AI268" s="39"/>
      <c r="AJ268" s="39"/>
      <c r="AK268" s="39"/>
      <c r="AL268" s="39"/>
      <c r="AM268" s="39"/>
      <c r="AN268" s="39"/>
      <c r="AO268" s="39"/>
      <c r="AP268" s="97" t="s">
        <v>1838</v>
      </c>
      <c r="AQ268" s="39"/>
      <c r="AR268" s="39"/>
    </row>
    <row r="269" spans="1:44" ht="13.8" x14ac:dyDescent="0.3">
      <c r="A269" s="16" t="s">
        <v>121</v>
      </c>
      <c r="B269" s="142" t="s">
        <v>1829</v>
      </c>
      <c r="C269" s="258" t="s">
        <v>2721</v>
      </c>
      <c r="D269" s="17"/>
      <c r="E269" s="69" t="s">
        <v>2722</v>
      </c>
      <c r="F269" s="135"/>
      <c r="G269" s="22" t="s">
        <v>1487</v>
      </c>
      <c r="H269" s="401">
        <v>7331423009978</v>
      </c>
      <c r="I269" s="401"/>
      <c r="J269" s="401"/>
      <c r="K269" s="401"/>
      <c r="L269" s="29" t="s">
        <v>364</v>
      </c>
      <c r="M269" s="12" t="s">
        <v>327</v>
      </c>
      <c r="N269" s="8">
        <v>14.99</v>
      </c>
      <c r="O269" s="37">
        <v>16</v>
      </c>
      <c r="P269" s="279">
        <f>16*6</f>
        <v>96</v>
      </c>
      <c r="Q269" s="35">
        <f>CONVERT(27,"g","lbm")</f>
        <v>5.9524810789916942E-2</v>
      </c>
      <c r="R269" s="35">
        <f>CONVERT(24,"mm","in")</f>
        <v>0.94488188976377963</v>
      </c>
      <c r="S269" s="35">
        <f>CONVERT(14,"mm","in")</f>
        <v>0.55118110236220474</v>
      </c>
      <c r="T269" s="72">
        <f>CONVERT(77,"mm","in")</f>
        <v>3.0314960629921264</v>
      </c>
      <c r="U269" s="46">
        <v>1.7</v>
      </c>
      <c r="V269" s="35">
        <v>9.375</v>
      </c>
      <c r="W269" s="35">
        <v>5.875</v>
      </c>
      <c r="X269" s="72">
        <v>7.25</v>
      </c>
      <c r="Y269" s="46" t="s">
        <v>66</v>
      </c>
      <c r="Z269" s="35" t="s">
        <v>66</v>
      </c>
      <c r="AA269" s="35" t="s">
        <v>66</v>
      </c>
      <c r="AB269" s="72" t="s">
        <v>66</v>
      </c>
      <c r="AC269" s="46">
        <v>10.8</v>
      </c>
      <c r="AD269" s="35">
        <v>12.375</v>
      </c>
      <c r="AE269" s="35">
        <v>9.75</v>
      </c>
      <c r="AF269" s="72">
        <v>11.875</v>
      </c>
      <c r="AG269" s="46">
        <f t="shared" ref="AG269" si="113">AD269*AE269*AF269/(12^3)</f>
        <v>0.82916259765625</v>
      </c>
      <c r="AH269" s="39" t="s">
        <v>2723</v>
      </c>
      <c r="AI269" s="39" t="s">
        <v>1836</v>
      </c>
      <c r="AJ269" s="39" t="s">
        <v>1846</v>
      </c>
      <c r="AK269" s="39" t="s">
        <v>1847</v>
      </c>
      <c r="AL269" s="20" t="s">
        <v>1848</v>
      </c>
      <c r="AM269" s="42" t="s">
        <v>1849</v>
      </c>
      <c r="AN269" s="42" t="s">
        <v>1850</v>
      </c>
      <c r="AO269" s="42" t="s">
        <v>1851</v>
      </c>
      <c r="AP269" s="39" t="s">
        <v>1854</v>
      </c>
      <c r="AQ269" s="20" t="s">
        <v>1839</v>
      </c>
      <c r="AR269" s="97" t="s">
        <v>1838</v>
      </c>
    </row>
    <row r="270" spans="1:44" s="39" customFormat="1" x14ac:dyDescent="0.25">
      <c r="A270" s="20"/>
      <c r="B270" s="141"/>
      <c r="C270" s="258"/>
      <c r="D270" s="35"/>
      <c r="E270" s="259"/>
      <c r="H270" s="118"/>
      <c r="I270" s="118"/>
      <c r="J270" s="118"/>
      <c r="K270" s="118"/>
      <c r="L270" s="38"/>
      <c r="M270" s="296"/>
      <c r="N270" s="260"/>
      <c r="P270" s="279"/>
      <c r="Q270" s="177"/>
      <c r="R270" s="177"/>
      <c r="S270" s="177"/>
      <c r="T270" s="227"/>
      <c r="U270" s="46"/>
      <c r="V270" s="35"/>
      <c r="W270" s="35"/>
      <c r="X270" s="72"/>
      <c r="Y270" s="46"/>
      <c r="Z270" s="35"/>
      <c r="AA270" s="35"/>
      <c r="AB270" s="72"/>
      <c r="AC270" s="46"/>
      <c r="AD270" s="35"/>
      <c r="AE270" s="35"/>
      <c r="AF270" s="72"/>
      <c r="AG270" s="46"/>
    </row>
    <row r="271" spans="1:44" s="104" customFormat="1" ht="15.6" x14ac:dyDescent="0.3">
      <c r="A271" s="108" t="s">
        <v>638</v>
      </c>
      <c r="B271" s="370"/>
      <c r="C271" s="247"/>
      <c r="D271" s="247" t="s">
        <v>128</v>
      </c>
      <c r="E271" s="248"/>
      <c r="H271" s="312"/>
      <c r="I271" s="312"/>
      <c r="J271" s="312"/>
      <c r="K271" s="312"/>
      <c r="L271" s="249"/>
      <c r="M271" s="249"/>
      <c r="N271" s="250"/>
      <c r="O271" s="251"/>
      <c r="P271" s="277"/>
      <c r="Q271" s="247"/>
      <c r="R271" s="247"/>
      <c r="S271" s="247"/>
      <c r="T271" s="253"/>
      <c r="U271" s="810" t="s">
        <v>639</v>
      </c>
      <c r="V271" s="811"/>
      <c r="W271" s="811"/>
      <c r="X271" s="812"/>
      <c r="Y271" s="807" t="s">
        <v>640</v>
      </c>
      <c r="Z271" s="808"/>
      <c r="AA271" s="808"/>
      <c r="AB271" s="808"/>
      <c r="AC271" s="807" t="s">
        <v>641</v>
      </c>
      <c r="AD271" s="808"/>
      <c r="AE271" s="808"/>
      <c r="AF271" s="809"/>
      <c r="AG271" s="46"/>
      <c r="AP271" s="257"/>
      <c r="AQ271" s="313"/>
    </row>
    <row r="272" spans="1:44" x14ac:dyDescent="0.25">
      <c r="A272" s="16" t="s">
        <v>121</v>
      </c>
      <c r="B272" s="143"/>
      <c r="C272" s="178" t="s">
        <v>953</v>
      </c>
      <c r="D272" s="17" t="s">
        <v>786</v>
      </c>
      <c r="E272" s="22" t="s">
        <v>954</v>
      </c>
      <c r="F272" s="20" t="s">
        <v>792</v>
      </c>
      <c r="G272" s="16" t="s">
        <v>1487</v>
      </c>
      <c r="H272" s="29" t="s">
        <v>66</v>
      </c>
      <c r="I272" s="29"/>
      <c r="J272" s="29"/>
      <c r="K272" s="29"/>
      <c r="L272" s="29" t="s">
        <v>148</v>
      </c>
      <c r="M272" s="29" t="s">
        <v>327</v>
      </c>
      <c r="N272" s="129">
        <v>5153.16</v>
      </c>
      <c r="O272" s="137">
        <v>1</v>
      </c>
      <c r="P272" s="229">
        <v>1</v>
      </c>
      <c r="Q272" s="135"/>
      <c r="R272" s="135"/>
      <c r="S272" s="135"/>
      <c r="T272" s="136"/>
      <c r="U272" s="314"/>
      <c r="V272" s="177">
        <v>35</v>
      </c>
      <c r="W272" s="177">
        <v>28</v>
      </c>
      <c r="X272" s="227">
        <v>53</v>
      </c>
      <c r="Y272" s="314"/>
      <c r="Z272" s="266"/>
      <c r="AA272" s="266"/>
      <c r="AB272" s="315"/>
      <c r="AC272" s="314"/>
      <c r="AD272" s="396"/>
      <c r="AE272" s="396"/>
      <c r="AF272" s="315"/>
      <c r="AG272" s="46">
        <f>AD272*AE272*AF272/(12^3)</f>
        <v>0</v>
      </c>
      <c r="AH272" s="178"/>
      <c r="AI272" s="178"/>
      <c r="AJ272" s="178"/>
      <c r="AK272" s="178"/>
      <c r="AL272" s="178"/>
      <c r="AM272" s="178"/>
      <c r="AN272" s="178"/>
      <c r="AO272" s="178"/>
      <c r="AP272" s="178"/>
      <c r="AQ272" s="178"/>
      <c r="AR272" s="178"/>
    </row>
    <row r="273" spans="1:33" s="39" customFormat="1" x14ac:dyDescent="0.25">
      <c r="B273" s="366"/>
      <c r="H273" s="296"/>
      <c r="I273" s="296"/>
      <c r="J273" s="296"/>
      <c r="K273" s="296"/>
      <c r="M273" s="296"/>
      <c r="P273" s="279"/>
      <c r="Q273" s="177"/>
      <c r="R273" s="177"/>
      <c r="S273" s="177"/>
      <c r="T273" s="227"/>
      <c r="U273" s="95"/>
      <c r="V273" s="177"/>
      <c r="W273" s="177"/>
      <c r="X273" s="227"/>
      <c r="Y273" s="95"/>
      <c r="Z273" s="177"/>
      <c r="AA273" s="177"/>
      <c r="AB273" s="227"/>
      <c r="AC273" s="95"/>
      <c r="AD273" s="177"/>
      <c r="AE273" s="177"/>
      <c r="AF273" s="227"/>
      <c r="AG273" s="46"/>
    </row>
    <row r="274" spans="1:33" s="39" customFormat="1" ht="15.6" x14ac:dyDescent="0.3">
      <c r="A274" s="198" t="s">
        <v>1463</v>
      </c>
      <c r="H274" s="296"/>
      <c r="I274" s="296"/>
      <c r="J274" s="296"/>
      <c r="K274" s="296"/>
      <c r="M274" s="296"/>
      <c r="P274" s="279"/>
      <c r="Q274" s="177"/>
      <c r="R274" s="177"/>
      <c r="S274" s="177"/>
      <c r="T274" s="227"/>
      <c r="U274" s="95"/>
      <c r="V274" s="177"/>
      <c r="W274" s="177"/>
      <c r="X274" s="227"/>
      <c r="Y274" s="95"/>
      <c r="Z274" s="177"/>
      <c r="AA274" s="177"/>
      <c r="AB274" s="227"/>
      <c r="AC274" s="95"/>
      <c r="AD274" s="177"/>
      <c r="AE274" s="177"/>
      <c r="AF274" s="227"/>
      <c r="AG274" s="46"/>
    </row>
    <row r="275" spans="1:33" s="442" customFormat="1" x14ac:dyDescent="0.25">
      <c r="A275" s="442" t="s">
        <v>2935</v>
      </c>
      <c r="H275" s="716"/>
      <c r="I275" s="716"/>
      <c r="J275" s="716"/>
      <c r="K275" s="716"/>
      <c r="M275" s="716"/>
      <c r="P275" s="717"/>
      <c r="Q275" s="718"/>
      <c r="R275" s="718"/>
      <c r="S275" s="718"/>
      <c r="T275" s="719"/>
      <c r="U275" s="720"/>
      <c r="V275" s="718"/>
      <c r="W275" s="718"/>
      <c r="X275" s="719"/>
      <c r="Y275" s="720"/>
      <c r="Z275" s="718"/>
      <c r="AA275" s="718"/>
      <c r="AB275" s="719"/>
      <c r="AC275" s="720"/>
      <c r="AD275" s="718"/>
      <c r="AE275" s="718"/>
      <c r="AF275" s="719"/>
      <c r="AG275" s="721"/>
    </row>
  </sheetData>
  <mergeCells count="17">
    <mergeCell ref="AR151:AR154"/>
    <mergeCell ref="AQ151:AQ154"/>
    <mergeCell ref="AO151:AO154"/>
    <mergeCell ref="AH151:AH154"/>
    <mergeCell ref="AI151:AI154"/>
    <mergeCell ref="AJ151:AJ154"/>
    <mergeCell ref="AK151:AK154"/>
    <mergeCell ref="AL151:AL154"/>
    <mergeCell ref="AM151:AM154"/>
    <mergeCell ref="AN151:AN154"/>
    <mergeCell ref="AP151:AP154"/>
    <mergeCell ref="B151:B154"/>
    <mergeCell ref="C151:C154"/>
    <mergeCell ref="AC271:AF271"/>
    <mergeCell ref="U271:X271"/>
    <mergeCell ref="Y271:AB271"/>
    <mergeCell ref="D151:D154"/>
  </mergeCells>
  <pageMargins left="0.5" right="0.5" top="0.25" bottom="0.25" header="0.3" footer="0.3"/>
  <pageSetup paperSize="3" fitToHeight="0" orientation="landscape" r:id="rId1"/>
  <ignoredErrors>
    <ignoredError sqref="H271 H216:H217 H50:H53 H210:H214 H32:H35 H28:H31 I38:K40 I28:K28 H14 J51:K54 H37:H40 H69:H73 H151 H157 H166:H167 J176:K176 H205:H208 J205:K207 J211:K213 K164 J157 H161:H164 H158:K158 H159:K159 H160:K160 J161:J164 I167:J167 H170:K170 H171:J171 H172:J172 H176 H173:J173 H174:J174 H175:J175 H177:J177 K208 J214:K214 I169:J169 H169 H253:H255 H168:J168" numberStoredAsText="1"/>
    <ignoredError sqref="AG216:AG218 AG50:AG54 Q38:Q40 U38:AF40 U4:AF11 U17:X23 AC17:AF23 Q4:T16 AG4:AG23 AG47:AG48 AG42:AG44 U48 Y48:AF48 U51:X54 AC51:AF54 Q57:Q60 U57:AG60 Q63 U63:AG63 AC67 Y67 U68:AF73 Q51:Q54 Q125:Q128 U125:AG128 AG137:AG140 AG142:AG145 U151 AC151 AG147:AG151 AG166 Q189 AG189 AG180:AG187 Q180:Q187 Q205:Q208 Q211:Q214 Q217:Q218 U267:AC267 AG270:AG272 U258 Q260 Q261:T262 Q17:Q23 Q157:AG157 R158:AG164 R167:AG167 Q170:AG175 Y131:AF133 AG26:AG40 U113:U116 AG113:AG114 Y134:Y135 Y130 AC130 Y136:AG136 AC134:AC135 U119:AG123 AG130:AG135 U169 Y169 AG169 Q158:Q167 Q192:Q199 AG192:AG199 AG205:AG214 U205:U208 U211:U214 AC211:AC214 U67 U260:U261 S38:S40 Q176:X176 AG176:AG177 Q263:Q264 U263:X264 AG67:AG73 AC115:AG116 Q85:Q111 U84:AG111 U117:AG117 U74:AG74 AG75:AG83 Q27:AF36 Q253:Q255 U253:X255 AC253:AG255 Q200:AG202 Q115:Q117 Q227:S231 Q241:AG250 Q169 Q168:AG168 Q268 U268 Q68:Q83 R68:R111 R113:R117 Q119:R123 Q130:S140 Q142:S145 Q147:S151 U130:U136 U227:AG231 Q233:S238 U233:AG238 Q177:S177 U177:X177 AG258:AG268 Q269:T269 Q118" unlockedFormula="1"/>
    <ignoredError sqref="Q113:Q114 Q84" formula="1"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322"/>
  <sheetViews>
    <sheetView zoomScaleNormal="100" workbookViewId="0">
      <pane xSplit="6" ySplit="2" topLeftCell="K215" activePane="bottomRight" state="frozenSplit"/>
      <selection pane="topRight" activeCell="F1" sqref="F1"/>
      <selection pane="bottomLeft" activeCell="A2" sqref="A2"/>
      <selection pane="bottomRight" activeCell="M1" sqref="M1:M1048576"/>
    </sheetView>
  </sheetViews>
  <sheetFormatPr defaultRowHeight="13.2" x14ac:dyDescent="0.25"/>
  <cols>
    <col min="1" max="1" width="10.6640625" customWidth="1"/>
    <col min="2" max="2" width="12.33203125" bestFit="1" customWidth="1"/>
    <col min="3" max="3" width="13" bestFit="1" customWidth="1"/>
    <col min="4" max="4" width="14.33203125" customWidth="1"/>
    <col min="5" max="5" width="74" bestFit="1" customWidth="1"/>
    <col min="6" max="6" width="12.5546875" customWidth="1"/>
    <col min="7" max="7" width="13.33203125" customWidth="1"/>
    <col min="8" max="8" width="16.6640625" style="119" customWidth="1"/>
    <col min="9" max="9" width="11.33203125" customWidth="1"/>
    <col min="10" max="10" width="16.44140625" bestFit="1" customWidth="1"/>
    <col min="11" max="11" width="12.33203125" customWidth="1"/>
    <col min="12" max="12" width="7.6640625" customWidth="1"/>
    <col min="13" max="13" width="8.6640625" style="693" customWidth="1"/>
    <col min="14" max="14" width="6.33203125" customWidth="1"/>
    <col min="15" max="15" width="6.33203125" style="398" customWidth="1"/>
    <col min="16" max="16" width="9.6640625" style="91" bestFit="1" customWidth="1"/>
    <col min="17" max="17" width="8.6640625" style="177" customWidth="1"/>
    <col min="18" max="18" width="7.44140625" style="177" customWidth="1"/>
    <col min="19" max="19" width="7.6640625" style="91" customWidth="1"/>
    <col min="20" max="20" width="9.6640625" style="292" customWidth="1"/>
    <col min="21" max="21" width="10.44140625" customWidth="1"/>
    <col min="22" max="22" width="8.6640625" customWidth="1"/>
    <col min="23" max="23" width="9.33203125" style="398" customWidth="1"/>
    <col min="24" max="24" width="15.6640625" style="398" customWidth="1"/>
    <col min="25" max="27" width="15.6640625" customWidth="1"/>
    <col min="28" max="28" width="15.6640625" style="292" customWidth="1"/>
    <col min="29" max="31" width="15.6640625" customWidth="1"/>
    <col min="32" max="32" width="8" customWidth="1"/>
    <col min="33" max="43" width="20.6640625" customWidth="1"/>
  </cols>
  <sheetData>
    <row r="1" spans="1:43" s="28" customFormat="1" ht="57" customHeight="1" thickBot="1" x14ac:dyDescent="0.3">
      <c r="I1" s="392"/>
      <c r="J1" s="392"/>
      <c r="K1" s="392"/>
      <c r="L1" s="392"/>
      <c r="M1" s="680"/>
      <c r="P1" s="42"/>
      <c r="Q1" s="42"/>
      <c r="R1" s="91"/>
      <c r="S1" s="91"/>
      <c r="T1" s="92"/>
      <c r="U1" s="92"/>
      <c r="V1" s="92"/>
      <c r="W1" s="92"/>
      <c r="X1" s="92"/>
      <c r="Y1" s="92"/>
      <c r="Z1" s="92"/>
      <c r="AA1" s="92"/>
      <c r="AB1" s="92"/>
      <c r="AC1" s="92"/>
      <c r="AD1" s="92"/>
      <c r="AE1" s="92"/>
      <c r="AF1" s="92"/>
      <c r="AG1" s="92"/>
    </row>
    <row r="2" spans="1:43" s="289" customFormat="1" ht="84.6" thickBot="1" x14ac:dyDescent="0.3">
      <c r="A2" s="536" t="s">
        <v>19</v>
      </c>
      <c r="B2" s="375" t="s">
        <v>1444</v>
      </c>
      <c r="C2" s="537" t="s">
        <v>26</v>
      </c>
      <c r="D2" s="492" t="s">
        <v>2290</v>
      </c>
      <c r="E2" s="537" t="s">
        <v>12</v>
      </c>
      <c r="F2" s="537" t="s">
        <v>13</v>
      </c>
      <c r="G2" s="537" t="s">
        <v>1484</v>
      </c>
      <c r="H2" s="535" t="s">
        <v>115</v>
      </c>
      <c r="I2" s="535" t="s">
        <v>1504</v>
      </c>
      <c r="J2" s="535" t="s">
        <v>1503</v>
      </c>
      <c r="K2" s="446" t="s">
        <v>67</v>
      </c>
      <c r="L2" s="446" t="s">
        <v>324</v>
      </c>
      <c r="M2" s="681" t="s">
        <v>20</v>
      </c>
      <c r="N2" s="537" t="s">
        <v>6</v>
      </c>
      <c r="O2" s="542" t="s">
        <v>7</v>
      </c>
      <c r="P2" s="491" t="s">
        <v>1481</v>
      </c>
      <c r="Q2" s="548" t="s">
        <v>2390</v>
      </c>
      <c r="R2" s="548" t="s">
        <v>2288</v>
      </c>
      <c r="S2" s="567" t="s">
        <v>2289</v>
      </c>
      <c r="T2" s="491" t="s">
        <v>1434</v>
      </c>
      <c r="U2" s="537" t="s">
        <v>1731</v>
      </c>
      <c r="V2" s="537" t="s">
        <v>1435</v>
      </c>
      <c r="W2" s="542" t="s">
        <v>1436</v>
      </c>
      <c r="X2" s="536" t="s">
        <v>1437</v>
      </c>
      <c r="Y2" s="376" t="s">
        <v>1732</v>
      </c>
      <c r="Z2" s="376" t="s">
        <v>1438</v>
      </c>
      <c r="AA2" s="381" t="s">
        <v>1439</v>
      </c>
      <c r="AB2" s="491" t="s">
        <v>1440</v>
      </c>
      <c r="AC2" s="376" t="s">
        <v>1733</v>
      </c>
      <c r="AD2" s="376" t="s">
        <v>1441</v>
      </c>
      <c r="AE2" s="381" t="s">
        <v>1443</v>
      </c>
      <c r="AF2" s="382" t="s">
        <v>1453</v>
      </c>
      <c r="AG2" s="538" t="s">
        <v>21</v>
      </c>
      <c r="AH2" s="538" t="s">
        <v>22</v>
      </c>
      <c r="AI2" s="538" t="s">
        <v>23</v>
      </c>
      <c r="AJ2" s="538" t="s">
        <v>24</v>
      </c>
      <c r="AK2" s="538" t="s">
        <v>25</v>
      </c>
      <c r="AL2" s="538" t="s">
        <v>1103</v>
      </c>
      <c r="AM2" s="538" t="s">
        <v>1104</v>
      </c>
      <c r="AN2" s="538" t="s">
        <v>1105</v>
      </c>
      <c r="AO2" s="539" t="s">
        <v>27</v>
      </c>
      <c r="AP2" s="540" t="s">
        <v>28</v>
      </c>
      <c r="AQ2" s="541" t="s">
        <v>29</v>
      </c>
    </row>
    <row r="3" spans="1:43" s="20" customFormat="1" ht="15.6" x14ac:dyDescent="0.3">
      <c r="A3" s="108" t="s">
        <v>437</v>
      </c>
      <c r="B3" s="108"/>
      <c r="C3" s="35"/>
      <c r="D3" s="35"/>
      <c r="E3" s="36"/>
      <c r="H3" s="265"/>
      <c r="K3" s="38"/>
      <c r="L3" s="38"/>
      <c r="M3" s="678"/>
      <c r="N3" s="37"/>
      <c r="O3" s="228"/>
      <c r="P3" s="543"/>
      <c r="Q3" s="196"/>
      <c r="R3" s="196"/>
      <c r="S3" s="197"/>
      <c r="T3" s="46"/>
      <c r="U3" s="35"/>
      <c r="V3" s="35"/>
      <c r="W3" s="72"/>
      <c r="X3" s="46"/>
      <c r="Y3" s="35"/>
      <c r="Z3" s="35"/>
      <c r="AA3" s="72"/>
      <c r="AB3" s="46"/>
      <c r="AC3" s="35"/>
      <c r="AD3" s="35"/>
      <c r="AE3" s="72"/>
      <c r="AF3" s="46"/>
      <c r="AK3" s="259"/>
      <c r="AL3" s="560"/>
      <c r="AM3" s="560"/>
      <c r="AN3" s="560"/>
      <c r="AO3" s="284"/>
    </row>
    <row r="4" spans="1:43" s="16" customFormat="1" x14ac:dyDescent="0.25">
      <c r="A4" s="20" t="s">
        <v>865</v>
      </c>
      <c r="B4" s="372"/>
      <c r="C4" s="534" t="s">
        <v>2744</v>
      </c>
      <c r="D4" s="4" t="s">
        <v>649</v>
      </c>
      <c r="E4" s="58" t="s">
        <v>3087</v>
      </c>
      <c r="F4" s="20" t="s">
        <v>111</v>
      </c>
      <c r="G4" s="20" t="s">
        <v>1517</v>
      </c>
      <c r="H4" s="49">
        <v>7391846017479</v>
      </c>
      <c r="I4" s="20"/>
      <c r="J4" s="290"/>
      <c r="K4" s="39" t="s">
        <v>523</v>
      </c>
      <c r="L4" s="38" t="s">
        <v>327</v>
      </c>
      <c r="M4" s="684">
        <v>109.99</v>
      </c>
      <c r="N4" s="37">
        <v>1</v>
      </c>
      <c r="O4" s="553">
        <v>5</v>
      </c>
      <c r="P4" s="46">
        <v>0.6</v>
      </c>
      <c r="Q4" s="549">
        <v>9</v>
      </c>
      <c r="R4" s="549">
        <v>4.3</v>
      </c>
      <c r="S4" s="550">
        <v>3.2</v>
      </c>
      <c r="T4" s="46">
        <v>0.69</v>
      </c>
      <c r="U4" s="593">
        <v>10.9</v>
      </c>
      <c r="V4" s="593">
        <v>2.4</v>
      </c>
      <c r="W4" s="594">
        <v>1.8</v>
      </c>
      <c r="X4" s="94">
        <v>3.65</v>
      </c>
      <c r="Y4" s="93">
        <v>11.25</v>
      </c>
      <c r="Z4" s="93">
        <v>12.25</v>
      </c>
      <c r="AA4" s="291">
        <v>2</v>
      </c>
      <c r="AB4" s="46">
        <v>30</v>
      </c>
      <c r="AC4" s="35">
        <v>17.5</v>
      </c>
      <c r="AD4" s="35">
        <v>12.5</v>
      </c>
      <c r="AE4" s="72">
        <v>12</v>
      </c>
      <c r="AF4" s="44"/>
      <c r="AG4" s="53" t="s">
        <v>3078</v>
      </c>
      <c r="AH4" s="748" t="s">
        <v>3079</v>
      </c>
      <c r="AI4" s="749" t="s">
        <v>3080</v>
      </c>
      <c r="AJ4" s="749" t="s">
        <v>3081</v>
      </c>
      <c r="AK4" s="749" t="s">
        <v>3082</v>
      </c>
      <c r="AO4" s="22" t="s">
        <v>3077</v>
      </c>
      <c r="AP4" s="20" t="s">
        <v>1839</v>
      </c>
      <c r="AQ4" s="16" t="s">
        <v>937</v>
      </c>
    </row>
    <row r="5" spans="1:43" s="16" customFormat="1" x14ac:dyDescent="0.25">
      <c r="A5" s="20" t="s">
        <v>865</v>
      </c>
      <c r="B5" s="372"/>
      <c r="C5" s="534" t="s">
        <v>2745</v>
      </c>
      <c r="D5" s="4" t="s">
        <v>649</v>
      </c>
      <c r="E5" s="58" t="s">
        <v>3088</v>
      </c>
      <c r="F5" s="20" t="s">
        <v>111</v>
      </c>
      <c r="G5" s="20" t="s">
        <v>1517</v>
      </c>
      <c r="H5" s="49" t="s">
        <v>2746</v>
      </c>
      <c r="I5" s="20"/>
      <c r="J5" s="290"/>
      <c r="K5" s="39" t="s">
        <v>523</v>
      </c>
      <c r="L5" s="38" t="s">
        <v>327</v>
      </c>
      <c r="M5" s="684">
        <v>99.99</v>
      </c>
      <c r="N5" s="37">
        <v>1</v>
      </c>
      <c r="O5" s="553">
        <v>5</v>
      </c>
      <c r="P5" s="46">
        <v>0.6</v>
      </c>
      <c r="Q5" s="549">
        <v>9</v>
      </c>
      <c r="R5" s="549">
        <v>4.3</v>
      </c>
      <c r="S5" s="550">
        <v>3.2</v>
      </c>
      <c r="T5" s="46">
        <v>0.62</v>
      </c>
      <c r="U5" s="593">
        <v>10.9</v>
      </c>
      <c r="V5" s="593">
        <v>2.4</v>
      </c>
      <c r="W5" s="594">
        <v>1.8</v>
      </c>
      <c r="X5" s="94">
        <v>3.4</v>
      </c>
      <c r="Y5" s="93">
        <v>11.257999999999999</v>
      </c>
      <c r="Z5" s="93">
        <v>12.25</v>
      </c>
      <c r="AA5" s="291">
        <v>2</v>
      </c>
      <c r="AB5" s="46">
        <v>27.8</v>
      </c>
      <c r="AC5" s="35">
        <v>17.5</v>
      </c>
      <c r="AD5" s="35">
        <v>12.5</v>
      </c>
      <c r="AE5" s="72">
        <v>12</v>
      </c>
      <c r="AF5" s="44"/>
      <c r="AG5" s="69" t="s">
        <v>3078</v>
      </c>
      <c r="AH5" s="69" t="s">
        <v>3079</v>
      </c>
      <c r="AI5" s="69" t="s">
        <v>3080</v>
      </c>
      <c r="AJ5" s="69" t="s">
        <v>3081</v>
      </c>
      <c r="AK5" s="69" t="s">
        <v>3084</v>
      </c>
      <c r="AL5" s="69" t="s">
        <v>3082</v>
      </c>
      <c r="AO5" s="22" t="s">
        <v>3083</v>
      </c>
      <c r="AP5" s="20"/>
    </row>
    <row r="6" spans="1:43" s="16" customFormat="1" ht="13.8" x14ac:dyDescent="0.3">
      <c r="A6" s="20" t="s">
        <v>865</v>
      </c>
      <c r="B6" s="20"/>
      <c r="C6" s="4" t="s">
        <v>1065</v>
      </c>
      <c r="D6" s="4" t="s">
        <v>621</v>
      </c>
      <c r="E6" s="4" t="s">
        <v>670</v>
      </c>
      <c r="F6" s="20" t="s">
        <v>111</v>
      </c>
      <c r="G6" s="20" t="s">
        <v>1517</v>
      </c>
      <c r="H6" s="99" t="s">
        <v>1072</v>
      </c>
      <c r="I6" s="20"/>
      <c r="J6" s="290"/>
      <c r="K6" s="39" t="s">
        <v>523</v>
      </c>
      <c r="L6" s="38" t="s">
        <v>327</v>
      </c>
      <c r="M6" s="682">
        <v>79.989999999999995</v>
      </c>
      <c r="N6" s="37">
        <v>1</v>
      </c>
      <c r="O6" s="281">
        <v>15</v>
      </c>
      <c r="P6" s="46">
        <f>CONVERT(0.1617,"kg","lbm")</f>
        <v>0.35648747795294711</v>
      </c>
      <c r="Q6" s="549">
        <f t="shared" ref="Q6:Q17" si="0">CONVERT(232,"mm","in")</f>
        <v>9.133858267716537</v>
      </c>
      <c r="R6" s="549">
        <f t="shared" ref="R6:R17" si="1">CONVERT(109,"mm","in")</f>
        <v>4.2913385826771657</v>
      </c>
      <c r="S6" s="550">
        <v>3.2</v>
      </c>
      <c r="T6" s="46">
        <f>CONVERT(217,"g","lbm")</f>
        <v>0.47840310894118432</v>
      </c>
      <c r="U6" s="549">
        <v>2.25</v>
      </c>
      <c r="V6" s="549">
        <v>1.875</v>
      </c>
      <c r="W6" s="550">
        <v>10</v>
      </c>
      <c r="X6" s="94" t="s">
        <v>66</v>
      </c>
      <c r="Y6" s="93" t="s">
        <v>66</v>
      </c>
      <c r="Z6" s="93" t="s">
        <v>66</v>
      </c>
      <c r="AA6" s="291" t="s">
        <v>66</v>
      </c>
      <c r="AB6" s="46">
        <v>10.15</v>
      </c>
      <c r="AC6" s="35">
        <v>12</v>
      </c>
      <c r="AD6" s="35">
        <v>10.375</v>
      </c>
      <c r="AE6" s="72">
        <v>8.5</v>
      </c>
      <c r="AF6" s="44"/>
      <c r="AG6" s="74" t="s">
        <v>2435</v>
      </c>
      <c r="AH6" s="74" t="s">
        <v>2417</v>
      </c>
      <c r="AI6" s="74" t="s">
        <v>2413</v>
      </c>
      <c r="AJ6" s="74" t="s">
        <v>2411</v>
      </c>
      <c r="AK6" s="74" t="s">
        <v>2412</v>
      </c>
      <c r="AM6" s="74"/>
      <c r="AN6" s="74"/>
      <c r="AO6" s="22" t="s">
        <v>2414</v>
      </c>
      <c r="AP6" s="20" t="s">
        <v>1839</v>
      </c>
      <c r="AQ6" s="16" t="s">
        <v>937</v>
      </c>
    </row>
    <row r="7" spans="1:43" s="16" customFormat="1" ht="13.8" x14ac:dyDescent="0.3">
      <c r="A7" s="20" t="s">
        <v>865</v>
      </c>
      <c r="B7" s="20"/>
      <c r="C7" s="4" t="s">
        <v>465</v>
      </c>
      <c r="D7" s="4" t="s">
        <v>621</v>
      </c>
      <c r="E7" s="4" t="s">
        <v>670</v>
      </c>
      <c r="F7" s="20" t="s">
        <v>111</v>
      </c>
      <c r="G7" s="20" t="s">
        <v>2539</v>
      </c>
      <c r="H7" s="5" t="s">
        <v>508</v>
      </c>
      <c r="I7" s="20"/>
      <c r="J7" s="290"/>
      <c r="K7" s="39" t="s">
        <v>523</v>
      </c>
      <c r="L7" s="38" t="s">
        <v>327</v>
      </c>
      <c r="M7" s="682">
        <v>79.989999999999995</v>
      </c>
      <c r="N7" s="37">
        <v>1</v>
      </c>
      <c r="O7" s="281">
        <v>5</v>
      </c>
      <c r="P7" s="46">
        <f>CONVERT(0.1617,"kg","lbm")</f>
        <v>0.35648747795294711</v>
      </c>
      <c r="Q7" s="549">
        <f t="shared" si="0"/>
        <v>9.133858267716537</v>
      </c>
      <c r="R7" s="549">
        <f t="shared" si="1"/>
        <v>4.2913385826771657</v>
      </c>
      <c r="S7" s="550">
        <v>3.2</v>
      </c>
      <c r="T7" s="46">
        <v>0.49604008991597454</v>
      </c>
      <c r="U7" s="35">
        <v>5.5</v>
      </c>
      <c r="V7" s="35">
        <v>1.25</v>
      </c>
      <c r="W7" s="72">
        <v>11.8125</v>
      </c>
      <c r="X7" s="94" t="s">
        <v>66</v>
      </c>
      <c r="Y7" s="93" t="s">
        <v>66</v>
      </c>
      <c r="Z7" s="93" t="s">
        <v>66</v>
      </c>
      <c r="AA7" s="291" t="s">
        <v>66</v>
      </c>
      <c r="AB7" s="46">
        <v>2.7006627117647501</v>
      </c>
      <c r="AC7" s="35">
        <v>12.0625</v>
      </c>
      <c r="AD7" s="35">
        <v>5.75</v>
      </c>
      <c r="AE7" s="72">
        <v>6</v>
      </c>
      <c r="AF7" s="44">
        <f>AC7*AD7*AE7/(12^3)</f>
        <v>0.24083116319444445</v>
      </c>
      <c r="AG7" s="74" t="s">
        <v>2435</v>
      </c>
      <c r="AH7" s="74" t="s">
        <v>2417</v>
      </c>
      <c r="AI7" s="74" t="s">
        <v>2413</v>
      </c>
      <c r="AJ7" s="74" t="s">
        <v>2591</v>
      </c>
      <c r="AK7" s="74" t="s">
        <v>2412</v>
      </c>
      <c r="AM7" s="74"/>
      <c r="AN7" s="74"/>
      <c r="AO7" s="22" t="s">
        <v>2414</v>
      </c>
      <c r="AP7" s="20" t="s">
        <v>1839</v>
      </c>
      <c r="AQ7" s="16" t="s">
        <v>937</v>
      </c>
    </row>
    <row r="8" spans="1:43" s="16" customFormat="1" ht="13.8" x14ac:dyDescent="0.3">
      <c r="A8" s="20" t="s">
        <v>865</v>
      </c>
      <c r="B8" s="20"/>
      <c r="C8" s="4" t="s">
        <v>1066</v>
      </c>
      <c r="D8" s="4" t="s">
        <v>649</v>
      </c>
      <c r="E8" s="4" t="s">
        <v>915</v>
      </c>
      <c r="F8" s="20" t="s">
        <v>111</v>
      </c>
      <c r="G8" s="20" t="s">
        <v>1517</v>
      </c>
      <c r="H8" s="68">
        <v>7391846015437</v>
      </c>
      <c r="I8" s="20"/>
      <c r="J8" s="290"/>
      <c r="K8" s="39" t="s">
        <v>523</v>
      </c>
      <c r="L8" s="38" t="s">
        <v>327</v>
      </c>
      <c r="M8" s="682">
        <v>79.989999999999995</v>
      </c>
      <c r="N8" s="37">
        <v>1</v>
      </c>
      <c r="O8" s="281">
        <v>10</v>
      </c>
      <c r="P8" s="46">
        <f>CONVERT(0.163,"kg","lbm")</f>
        <v>0.35935348736135048</v>
      </c>
      <c r="Q8" s="549">
        <f t="shared" si="0"/>
        <v>9.133858267716537</v>
      </c>
      <c r="R8" s="549">
        <f t="shared" si="1"/>
        <v>4.2913385826771657</v>
      </c>
      <c r="S8" s="550">
        <v>3.2</v>
      </c>
      <c r="T8" s="134"/>
      <c r="U8" s="135"/>
      <c r="V8" s="135"/>
      <c r="W8" s="136"/>
      <c r="X8" s="94" t="s">
        <v>66</v>
      </c>
      <c r="Y8" s="93" t="s">
        <v>66</v>
      </c>
      <c r="Z8" s="93" t="s">
        <v>66</v>
      </c>
      <c r="AA8" s="291" t="s">
        <v>66</v>
      </c>
      <c r="AB8" s="46">
        <v>2.75</v>
      </c>
      <c r="AC8" s="35">
        <v>12</v>
      </c>
      <c r="AD8" s="35">
        <v>5.75</v>
      </c>
      <c r="AE8" s="72">
        <v>3.75</v>
      </c>
      <c r="AF8" s="44"/>
      <c r="AG8" s="74" t="s">
        <v>2418</v>
      </c>
      <c r="AH8" s="74" t="s">
        <v>2417</v>
      </c>
      <c r="AI8" s="74" t="s">
        <v>2413</v>
      </c>
      <c r="AJ8" s="74" t="s">
        <v>2411</v>
      </c>
      <c r="AK8" s="74" t="s">
        <v>2419</v>
      </c>
      <c r="AL8" s="74"/>
      <c r="AM8" s="74"/>
      <c r="AN8" s="74"/>
      <c r="AO8" s="22" t="s">
        <v>2420</v>
      </c>
      <c r="AP8" s="20" t="s">
        <v>1839</v>
      </c>
      <c r="AQ8" s="16" t="s">
        <v>937</v>
      </c>
    </row>
    <row r="9" spans="1:43" s="410" customFormat="1" ht="13.5" customHeight="1" x14ac:dyDescent="0.3">
      <c r="A9" s="410" t="s">
        <v>865</v>
      </c>
      <c r="C9" s="526" t="s">
        <v>839</v>
      </c>
      <c r="D9" s="526" t="s">
        <v>621</v>
      </c>
      <c r="E9" s="526" t="s">
        <v>2291</v>
      </c>
      <c r="F9" s="410" t="s">
        <v>111</v>
      </c>
      <c r="G9" s="410" t="s">
        <v>1485</v>
      </c>
      <c r="H9" s="531" t="s">
        <v>897</v>
      </c>
      <c r="K9" s="421" t="s">
        <v>523</v>
      </c>
      <c r="L9" s="415" t="s">
        <v>327</v>
      </c>
      <c r="M9" s="683">
        <v>124.99</v>
      </c>
      <c r="N9" s="417">
        <v>1</v>
      </c>
      <c r="O9" s="528">
        <v>10</v>
      </c>
      <c r="P9" s="419">
        <f>CONVERT(0.18,"kg","lbm")</f>
        <v>0.39683207193277964</v>
      </c>
      <c r="Q9" s="551">
        <f t="shared" si="0"/>
        <v>9.133858267716537</v>
      </c>
      <c r="R9" s="551">
        <f t="shared" si="1"/>
        <v>4.2913385826771657</v>
      </c>
      <c r="S9" s="552">
        <v>3.2</v>
      </c>
      <c r="T9" s="419">
        <v>0.36</v>
      </c>
      <c r="U9" s="412">
        <v>9.4</v>
      </c>
      <c r="V9" s="412">
        <v>1.9</v>
      </c>
      <c r="W9" s="420">
        <v>1.6</v>
      </c>
      <c r="X9" s="529" t="s">
        <v>66</v>
      </c>
      <c r="Y9" s="473" t="s">
        <v>66</v>
      </c>
      <c r="Z9" s="473" t="s">
        <v>66</v>
      </c>
      <c r="AA9" s="474" t="s">
        <v>66</v>
      </c>
      <c r="AB9" s="419">
        <v>5.85</v>
      </c>
      <c r="AC9" s="412">
        <v>9.75</v>
      </c>
      <c r="AD9" s="412">
        <v>5</v>
      </c>
      <c r="AE9" s="420">
        <v>10.25</v>
      </c>
      <c r="AF9" s="419">
        <f>AC9*AD9*AE9/(12^3)</f>
        <v>0.28917100694444442</v>
      </c>
      <c r="AG9" s="530" t="s">
        <v>2435</v>
      </c>
      <c r="AH9" s="530" t="s">
        <v>2417</v>
      </c>
      <c r="AI9" s="530" t="s">
        <v>2413</v>
      </c>
      <c r="AJ9" s="530" t="s">
        <v>2421</v>
      </c>
      <c r="AK9" s="530" t="s">
        <v>2422</v>
      </c>
      <c r="AL9" s="530"/>
      <c r="AM9" s="530"/>
      <c r="AN9" s="530"/>
      <c r="AO9" s="421" t="s">
        <v>2423</v>
      </c>
      <c r="AP9" s="410" t="s">
        <v>1839</v>
      </c>
      <c r="AQ9" s="410" t="s">
        <v>937</v>
      </c>
    </row>
    <row r="10" spans="1:43" s="16" customFormat="1" ht="13.8" x14ac:dyDescent="0.3">
      <c r="A10" s="20" t="s">
        <v>865</v>
      </c>
      <c r="B10" s="20"/>
      <c r="C10" s="4" t="s">
        <v>1067</v>
      </c>
      <c r="D10" s="4" t="s">
        <v>621</v>
      </c>
      <c r="E10" s="4" t="s">
        <v>2291</v>
      </c>
      <c r="F10" s="20" t="s">
        <v>111</v>
      </c>
      <c r="G10" s="20" t="s">
        <v>1517</v>
      </c>
      <c r="H10" s="56" t="s">
        <v>1073</v>
      </c>
      <c r="I10" s="20"/>
      <c r="J10" s="290"/>
      <c r="K10" s="39" t="s">
        <v>523</v>
      </c>
      <c r="L10" s="38" t="s">
        <v>327</v>
      </c>
      <c r="M10" s="682">
        <v>124.99</v>
      </c>
      <c r="N10" s="37">
        <v>1</v>
      </c>
      <c r="O10" s="281">
        <v>10</v>
      </c>
      <c r="P10" s="46">
        <f>CONVERT(0.18,"kg","lbm")</f>
        <v>0.39683207193277964</v>
      </c>
      <c r="Q10" s="549">
        <f t="shared" si="0"/>
        <v>9.133858267716537</v>
      </c>
      <c r="R10" s="549">
        <f t="shared" si="1"/>
        <v>4.2913385826771657</v>
      </c>
      <c r="S10" s="550">
        <v>3.2</v>
      </c>
      <c r="T10" s="134"/>
      <c r="U10" s="135"/>
      <c r="V10" s="135"/>
      <c r="W10" s="136"/>
      <c r="X10" s="94" t="s">
        <v>66</v>
      </c>
      <c r="Y10" s="93" t="s">
        <v>66</v>
      </c>
      <c r="Z10" s="93" t="s">
        <v>66</v>
      </c>
      <c r="AA10" s="291" t="s">
        <v>66</v>
      </c>
      <c r="AB10" s="46">
        <v>8.6</v>
      </c>
      <c r="AC10" s="35">
        <v>12</v>
      </c>
      <c r="AD10" s="35">
        <v>10.375</v>
      </c>
      <c r="AE10" s="72">
        <v>8.5</v>
      </c>
      <c r="AF10" s="44"/>
      <c r="AG10" s="74" t="s">
        <v>2435</v>
      </c>
      <c r="AH10" s="74" t="s">
        <v>2417</v>
      </c>
      <c r="AI10" s="74" t="s">
        <v>2413</v>
      </c>
      <c r="AJ10" s="74" t="s">
        <v>2421</v>
      </c>
      <c r="AK10" s="74" t="s">
        <v>2422</v>
      </c>
      <c r="AL10" s="74"/>
      <c r="AM10" s="74"/>
      <c r="AN10" s="74"/>
      <c r="AO10" s="22" t="s">
        <v>2423</v>
      </c>
      <c r="AP10" s="20" t="s">
        <v>1839</v>
      </c>
      <c r="AQ10" s="16" t="s">
        <v>937</v>
      </c>
    </row>
    <row r="11" spans="1:43" s="410" customFormat="1" ht="13.5" customHeight="1" x14ac:dyDescent="0.3">
      <c r="A11" s="410" t="s">
        <v>865</v>
      </c>
      <c r="C11" s="526" t="s">
        <v>838</v>
      </c>
      <c r="D11" s="526" t="s">
        <v>649</v>
      </c>
      <c r="E11" s="526" t="s">
        <v>2292</v>
      </c>
      <c r="F11" s="410" t="s">
        <v>111</v>
      </c>
      <c r="G11" s="410" t="s">
        <v>1485</v>
      </c>
      <c r="H11" s="427">
        <v>7391846015284</v>
      </c>
      <c r="K11" s="421" t="s">
        <v>523</v>
      </c>
      <c r="L11" s="415" t="s">
        <v>327</v>
      </c>
      <c r="M11" s="683">
        <v>129.99</v>
      </c>
      <c r="N11" s="417">
        <v>1</v>
      </c>
      <c r="O11" s="528">
        <v>10</v>
      </c>
      <c r="P11" s="419">
        <f>CONVERT(0.18,"kg","lbm")</f>
        <v>0.39683207193277964</v>
      </c>
      <c r="Q11" s="551">
        <f t="shared" si="0"/>
        <v>9.133858267716537</v>
      </c>
      <c r="R11" s="551">
        <f t="shared" si="1"/>
        <v>4.2913385826771657</v>
      </c>
      <c r="S11" s="552">
        <v>3.2</v>
      </c>
      <c r="T11" s="419">
        <v>0.36</v>
      </c>
      <c r="U11" s="412">
        <v>9.4</v>
      </c>
      <c r="V11" s="412">
        <v>1.9</v>
      </c>
      <c r="W11" s="420">
        <v>1.6</v>
      </c>
      <c r="X11" s="529" t="s">
        <v>66</v>
      </c>
      <c r="Y11" s="473" t="s">
        <v>66</v>
      </c>
      <c r="Z11" s="473" t="s">
        <v>66</v>
      </c>
      <c r="AA11" s="474" t="s">
        <v>66</v>
      </c>
      <c r="AB11" s="419">
        <v>5.85</v>
      </c>
      <c r="AC11" s="412">
        <v>9.75</v>
      </c>
      <c r="AD11" s="412">
        <v>5</v>
      </c>
      <c r="AE11" s="420">
        <v>10.25</v>
      </c>
      <c r="AF11" s="419">
        <f>AC11*AD11*AE11/(12^3)</f>
        <v>0.28917100694444442</v>
      </c>
      <c r="AG11" s="530" t="s">
        <v>2418</v>
      </c>
      <c r="AH11" s="530" t="s">
        <v>2417</v>
      </c>
      <c r="AI11" s="530" t="s">
        <v>2413</v>
      </c>
      <c r="AJ11" s="530" t="s">
        <v>2421</v>
      </c>
      <c r="AK11" s="530" t="s">
        <v>2422</v>
      </c>
      <c r="AL11" s="530"/>
      <c r="AM11" s="530"/>
      <c r="AN11" s="530"/>
      <c r="AO11" s="421" t="s">
        <v>2424</v>
      </c>
      <c r="AP11" s="410" t="s">
        <v>1839</v>
      </c>
      <c r="AQ11" s="410" t="s">
        <v>937</v>
      </c>
    </row>
    <row r="12" spans="1:43" s="16" customFormat="1" ht="13.8" x14ac:dyDescent="0.3">
      <c r="A12" s="20" t="s">
        <v>865</v>
      </c>
      <c r="B12" s="20"/>
      <c r="C12" s="4" t="s">
        <v>1068</v>
      </c>
      <c r="D12" s="4" t="s">
        <v>649</v>
      </c>
      <c r="E12" s="4" t="s">
        <v>2292</v>
      </c>
      <c r="F12" s="20" t="s">
        <v>111</v>
      </c>
      <c r="G12" s="20" t="s">
        <v>1517</v>
      </c>
      <c r="H12" s="68">
        <v>7391846015376</v>
      </c>
      <c r="I12" s="20"/>
      <c r="J12" s="290"/>
      <c r="K12" s="39" t="s">
        <v>523</v>
      </c>
      <c r="L12" s="38" t="s">
        <v>327</v>
      </c>
      <c r="M12" s="682">
        <v>129.99</v>
      </c>
      <c r="N12" s="37">
        <v>1</v>
      </c>
      <c r="O12" s="281">
        <v>10</v>
      </c>
      <c r="P12" s="46">
        <f>CONVERT(0.18,"kg","lbm")</f>
        <v>0.39683207193277964</v>
      </c>
      <c r="Q12" s="549">
        <f t="shared" si="0"/>
        <v>9.133858267716537</v>
      </c>
      <c r="R12" s="549">
        <f t="shared" si="1"/>
        <v>4.2913385826771657</v>
      </c>
      <c r="S12" s="550">
        <v>3.2</v>
      </c>
      <c r="T12" s="134"/>
      <c r="U12" s="135"/>
      <c r="V12" s="135"/>
      <c r="W12" s="136"/>
      <c r="X12" s="94" t="s">
        <v>66</v>
      </c>
      <c r="Y12" s="93" t="s">
        <v>66</v>
      </c>
      <c r="Z12" s="93" t="s">
        <v>66</v>
      </c>
      <c r="AA12" s="291" t="s">
        <v>66</v>
      </c>
      <c r="AB12" s="46">
        <v>8.6</v>
      </c>
      <c r="AC12" s="35">
        <v>12</v>
      </c>
      <c r="AD12" s="35">
        <v>10.5</v>
      </c>
      <c r="AE12" s="72">
        <v>8.25</v>
      </c>
      <c r="AF12" s="44"/>
      <c r="AG12" s="74" t="s">
        <v>2418</v>
      </c>
      <c r="AH12" s="74" t="s">
        <v>2417</v>
      </c>
      <c r="AI12" s="74" t="s">
        <v>2413</v>
      </c>
      <c r="AJ12" s="74" t="s">
        <v>2421</v>
      </c>
      <c r="AK12" s="74" t="s">
        <v>2422</v>
      </c>
      <c r="AL12" s="74"/>
      <c r="AM12" s="74"/>
      <c r="AN12" s="74"/>
      <c r="AO12" s="22" t="s">
        <v>2424</v>
      </c>
      <c r="AP12" s="20" t="s">
        <v>1839</v>
      </c>
      <c r="AQ12" s="16" t="s">
        <v>937</v>
      </c>
    </row>
    <row r="13" spans="1:43" s="16" customFormat="1" ht="12.75" customHeight="1" x14ac:dyDescent="0.25">
      <c r="A13" s="20" t="s">
        <v>865</v>
      </c>
      <c r="B13" s="20"/>
      <c r="C13" s="534" t="s">
        <v>466</v>
      </c>
      <c r="D13" s="4" t="s">
        <v>621</v>
      </c>
      <c r="E13" s="534" t="s">
        <v>2293</v>
      </c>
      <c r="F13" s="20" t="s">
        <v>111</v>
      </c>
      <c r="G13" s="20" t="s">
        <v>2539</v>
      </c>
      <c r="H13" s="99" t="s">
        <v>509</v>
      </c>
      <c r="I13" s="20"/>
      <c r="J13" s="290"/>
      <c r="K13" s="39" t="s">
        <v>523</v>
      </c>
      <c r="L13" s="38" t="s">
        <v>327</v>
      </c>
      <c r="M13" s="684">
        <v>99.99</v>
      </c>
      <c r="N13" s="37">
        <v>1</v>
      </c>
      <c r="O13" s="553">
        <v>5</v>
      </c>
      <c r="P13" s="46">
        <f>CONVERT(0.2285,"kg","lbm")</f>
        <v>0.5037562690924452</v>
      </c>
      <c r="Q13" s="549">
        <f t="shared" si="0"/>
        <v>9.133858267716537</v>
      </c>
      <c r="R13" s="549">
        <f t="shared" si="1"/>
        <v>4.2913385826771657</v>
      </c>
      <c r="S13" s="550">
        <v>3.2</v>
      </c>
      <c r="T13" s="46">
        <v>0.61729433411765722</v>
      </c>
      <c r="U13" s="35">
        <v>5.5</v>
      </c>
      <c r="V13" s="35">
        <v>1.25</v>
      </c>
      <c r="W13" s="72">
        <v>11.8125</v>
      </c>
      <c r="X13" s="94" t="s">
        <v>66</v>
      </c>
      <c r="Y13" s="93" t="s">
        <v>66</v>
      </c>
      <c r="Z13" s="93" t="s">
        <v>66</v>
      </c>
      <c r="AA13" s="291" t="s">
        <v>66</v>
      </c>
      <c r="AB13" s="46">
        <v>3.3</v>
      </c>
      <c r="AC13" s="35">
        <v>12</v>
      </c>
      <c r="AD13" s="35">
        <v>5.75</v>
      </c>
      <c r="AE13" s="72">
        <v>5.75</v>
      </c>
      <c r="AF13" s="44">
        <f>AC13*AD13*AE13/(12^3)</f>
        <v>0.22960069444444445</v>
      </c>
      <c r="AG13" s="53" t="s">
        <v>2436</v>
      </c>
      <c r="AH13" s="22" t="s">
        <v>2425</v>
      </c>
      <c r="AI13" s="74" t="s">
        <v>2413</v>
      </c>
      <c r="AJ13" s="568" t="s">
        <v>2426</v>
      </c>
      <c r="AK13" s="568" t="s">
        <v>2427</v>
      </c>
      <c r="AL13" s="568" t="s">
        <v>2428</v>
      </c>
      <c r="AM13" s="74" t="s">
        <v>2429</v>
      </c>
      <c r="AO13" s="75" t="s">
        <v>2542</v>
      </c>
      <c r="AP13" s="20" t="s">
        <v>1839</v>
      </c>
      <c r="AQ13" s="16" t="s">
        <v>937</v>
      </c>
    </row>
    <row r="14" spans="1:43" s="16" customFormat="1" x14ac:dyDescent="0.25">
      <c r="A14" s="20" t="s">
        <v>865</v>
      </c>
      <c r="B14" s="20"/>
      <c r="C14" s="4" t="s">
        <v>1064</v>
      </c>
      <c r="D14" s="4" t="s">
        <v>649</v>
      </c>
      <c r="E14" s="4" t="s">
        <v>673</v>
      </c>
      <c r="F14" s="20" t="s">
        <v>583</v>
      </c>
      <c r="G14" s="20" t="s">
        <v>2539</v>
      </c>
      <c r="H14" s="5" t="s">
        <v>1071</v>
      </c>
      <c r="I14" s="20"/>
      <c r="J14" s="290"/>
      <c r="K14" s="39" t="s">
        <v>523</v>
      </c>
      <c r="L14" s="38" t="s">
        <v>327</v>
      </c>
      <c r="M14" s="682">
        <v>49.99</v>
      </c>
      <c r="N14" s="37">
        <v>1</v>
      </c>
      <c r="O14" s="281">
        <v>15</v>
      </c>
      <c r="P14" s="46">
        <f>CONVERT(0.142,"kg","lbm")</f>
        <v>0.31305641230252612</v>
      </c>
      <c r="Q14" s="549">
        <f t="shared" si="0"/>
        <v>9.133858267716537</v>
      </c>
      <c r="R14" s="549">
        <f t="shared" si="1"/>
        <v>4.2913385826771657</v>
      </c>
      <c r="S14" s="550">
        <v>2.5</v>
      </c>
      <c r="T14" s="545"/>
      <c r="U14" s="135"/>
      <c r="V14" s="135"/>
      <c r="W14" s="136"/>
      <c r="X14" s="94" t="s">
        <v>66</v>
      </c>
      <c r="Y14" s="93" t="s">
        <v>66</v>
      </c>
      <c r="Z14" s="93" t="s">
        <v>66</v>
      </c>
      <c r="AA14" s="291" t="s">
        <v>66</v>
      </c>
      <c r="AB14" s="46">
        <v>2.5499999999999998</v>
      </c>
      <c r="AC14" s="35">
        <v>12</v>
      </c>
      <c r="AD14" s="35">
        <v>5.75</v>
      </c>
      <c r="AE14" s="72">
        <v>5.75</v>
      </c>
      <c r="AF14" s="44"/>
      <c r="AG14" s="22" t="s">
        <v>2430</v>
      </c>
      <c r="AH14" s="22" t="s">
        <v>2434</v>
      </c>
      <c r="AI14" s="22" t="s">
        <v>2431</v>
      </c>
      <c r="AJ14" s="22" t="s">
        <v>2439</v>
      </c>
      <c r="AK14" s="74" t="s">
        <v>2432</v>
      </c>
      <c r="AO14" s="22" t="s">
        <v>2433</v>
      </c>
      <c r="AP14" s="20" t="s">
        <v>1839</v>
      </c>
      <c r="AQ14" s="16" t="s">
        <v>937</v>
      </c>
    </row>
    <row r="15" spans="1:43" s="16" customFormat="1" x14ac:dyDescent="0.25">
      <c r="A15" s="20" t="s">
        <v>865</v>
      </c>
      <c r="B15" s="20"/>
      <c r="C15" s="4" t="s">
        <v>1063</v>
      </c>
      <c r="D15" s="4" t="s">
        <v>649</v>
      </c>
      <c r="E15" s="4" t="s">
        <v>669</v>
      </c>
      <c r="F15" s="20" t="s">
        <v>51</v>
      </c>
      <c r="G15" s="20" t="s">
        <v>1517</v>
      </c>
      <c r="H15" s="5" t="s">
        <v>1070</v>
      </c>
      <c r="I15" s="20"/>
      <c r="J15" s="290"/>
      <c r="K15" s="39" t="s">
        <v>523</v>
      </c>
      <c r="L15" s="38" t="s">
        <v>327</v>
      </c>
      <c r="M15" s="682">
        <v>49.99</v>
      </c>
      <c r="N15" s="37">
        <v>1</v>
      </c>
      <c r="O15" s="281">
        <v>15</v>
      </c>
      <c r="P15" s="46">
        <f t="shared" ref="P15:P16" si="2">CONVERT(0.1735,"kg","lbm")</f>
        <v>0.38250202489076257</v>
      </c>
      <c r="Q15" s="549">
        <f t="shared" si="0"/>
        <v>9.133858267716537</v>
      </c>
      <c r="R15" s="549">
        <f t="shared" si="1"/>
        <v>4.2913385826771657</v>
      </c>
      <c r="S15" s="550">
        <v>3.2</v>
      </c>
      <c r="T15" s="545"/>
      <c r="U15" s="135"/>
      <c r="V15" s="135"/>
      <c r="W15" s="136"/>
      <c r="X15" s="94" t="s">
        <v>66</v>
      </c>
      <c r="Y15" s="93" t="s">
        <v>66</v>
      </c>
      <c r="Z15" s="93" t="s">
        <v>66</v>
      </c>
      <c r="AA15" s="291" t="s">
        <v>66</v>
      </c>
      <c r="AB15" s="134"/>
      <c r="AC15" s="135"/>
      <c r="AD15" s="135"/>
      <c r="AE15" s="136"/>
      <c r="AF15" s="44"/>
      <c r="AG15" s="74" t="s">
        <v>2437</v>
      </c>
      <c r="AH15" s="74" t="s">
        <v>2438</v>
      </c>
      <c r="AI15" s="74" t="s">
        <v>2413</v>
      </c>
      <c r="AJ15" s="74" t="s">
        <v>2440</v>
      </c>
      <c r="AK15" s="74" t="s">
        <v>2441</v>
      </c>
      <c r="AL15" s="100"/>
      <c r="AM15" s="100"/>
      <c r="AN15" s="100"/>
      <c r="AO15" s="54" t="s">
        <v>2442</v>
      </c>
      <c r="AP15" s="20" t="s">
        <v>1839</v>
      </c>
      <c r="AQ15" s="16" t="s">
        <v>937</v>
      </c>
    </row>
    <row r="16" spans="1:43" s="16" customFormat="1" x14ac:dyDescent="0.25">
      <c r="A16" s="20" t="s">
        <v>865</v>
      </c>
      <c r="B16" s="20"/>
      <c r="C16" s="4" t="s">
        <v>464</v>
      </c>
      <c r="D16" s="4" t="s">
        <v>649</v>
      </c>
      <c r="E16" s="4" t="s">
        <v>669</v>
      </c>
      <c r="F16" s="20" t="s">
        <v>51</v>
      </c>
      <c r="G16" s="20" t="s">
        <v>2539</v>
      </c>
      <c r="H16" s="5" t="s">
        <v>507</v>
      </c>
      <c r="I16" s="20"/>
      <c r="J16" s="290"/>
      <c r="K16" s="39" t="s">
        <v>523</v>
      </c>
      <c r="L16" s="38" t="s">
        <v>327</v>
      </c>
      <c r="M16" s="682">
        <v>49.99</v>
      </c>
      <c r="N16" s="37">
        <v>1</v>
      </c>
      <c r="O16" s="281">
        <v>5</v>
      </c>
      <c r="P16" s="46">
        <f t="shared" si="2"/>
        <v>0.38250202489076257</v>
      </c>
      <c r="Q16" s="549">
        <f t="shared" si="0"/>
        <v>9.133858267716537</v>
      </c>
      <c r="R16" s="549">
        <f t="shared" si="1"/>
        <v>4.2913385826771657</v>
      </c>
      <c r="S16" s="550">
        <v>3.2</v>
      </c>
      <c r="T16" s="46">
        <v>0.5</v>
      </c>
      <c r="U16" s="35">
        <v>5.5</v>
      </c>
      <c r="V16" s="35">
        <v>1.25</v>
      </c>
      <c r="W16" s="72">
        <v>11.8125</v>
      </c>
      <c r="X16" s="94" t="s">
        <v>66</v>
      </c>
      <c r="Y16" s="93" t="s">
        <v>66</v>
      </c>
      <c r="Z16" s="93" t="s">
        <v>66</v>
      </c>
      <c r="AA16" s="291" t="s">
        <v>66</v>
      </c>
      <c r="AB16" s="46">
        <v>2.7</v>
      </c>
      <c r="AC16" s="35">
        <v>12</v>
      </c>
      <c r="AD16" s="35">
        <v>5.75</v>
      </c>
      <c r="AE16" s="72">
        <v>5.75</v>
      </c>
      <c r="AF16" s="44">
        <f>AC16*AD16*AE16/(12^3)</f>
        <v>0.22960069444444445</v>
      </c>
      <c r="AG16" s="74" t="s">
        <v>2437</v>
      </c>
      <c r="AH16" s="74" t="s">
        <v>2438</v>
      </c>
      <c r="AI16" s="74" t="s">
        <v>2413</v>
      </c>
      <c r="AJ16" s="74" t="s">
        <v>2440</v>
      </c>
      <c r="AK16" s="74" t="s">
        <v>2441</v>
      </c>
      <c r="AL16" s="100"/>
      <c r="AM16" s="100"/>
      <c r="AN16" s="100"/>
      <c r="AO16" s="54" t="s">
        <v>2442</v>
      </c>
      <c r="AP16" s="20" t="s">
        <v>1839</v>
      </c>
      <c r="AQ16" s="16" t="s">
        <v>937</v>
      </c>
    </row>
    <row r="17" spans="1:43" s="20" customFormat="1" ht="12.75" customHeight="1" x14ac:dyDescent="0.25">
      <c r="A17" s="20" t="s">
        <v>865</v>
      </c>
      <c r="C17" s="534" t="s">
        <v>645</v>
      </c>
      <c r="D17" s="4" t="s">
        <v>649</v>
      </c>
      <c r="E17" s="534" t="s">
        <v>2294</v>
      </c>
      <c r="F17" s="20" t="s">
        <v>51</v>
      </c>
      <c r="G17" s="20" t="s">
        <v>2539</v>
      </c>
      <c r="H17" s="99" t="s">
        <v>659</v>
      </c>
      <c r="J17" s="290"/>
      <c r="K17" s="39" t="s">
        <v>523</v>
      </c>
      <c r="L17" s="38" t="s">
        <v>327</v>
      </c>
      <c r="M17" s="684">
        <v>74.989999999999995</v>
      </c>
      <c r="N17" s="37">
        <v>1</v>
      </c>
      <c r="O17" s="553">
        <v>5</v>
      </c>
      <c r="P17" s="46">
        <f>CONVERT(0.212,"kg","lbm")</f>
        <v>0.46737999583194045</v>
      </c>
      <c r="Q17" s="549">
        <f t="shared" si="0"/>
        <v>9.133858267716537</v>
      </c>
      <c r="R17" s="549">
        <f t="shared" si="1"/>
        <v>4.2913385826771657</v>
      </c>
      <c r="S17" s="550">
        <v>3.2</v>
      </c>
      <c r="T17" s="46">
        <v>0.65</v>
      </c>
      <c r="U17" s="35">
        <v>13.5</v>
      </c>
      <c r="V17" s="35">
        <v>5.0999999999999996</v>
      </c>
      <c r="W17" s="72">
        <v>2</v>
      </c>
      <c r="X17" s="94" t="s">
        <v>66</v>
      </c>
      <c r="Y17" s="93" t="s">
        <v>66</v>
      </c>
      <c r="Z17" s="93" t="s">
        <v>66</v>
      </c>
      <c r="AA17" s="291" t="s">
        <v>66</v>
      </c>
      <c r="AB17" s="46">
        <v>3.8</v>
      </c>
      <c r="AC17" s="35">
        <v>15.25</v>
      </c>
      <c r="AD17" s="35">
        <v>8.25</v>
      </c>
      <c r="AE17" s="72">
        <v>5.25</v>
      </c>
      <c r="AF17" s="44">
        <f>AC17*AD17*AE17/(12^3)</f>
        <v>0.38224283854166669</v>
      </c>
      <c r="AG17" s="85" t="s">
        <v>2443</v>
      </c>
      <c r="AH17" s="85" t="s">
        <v>2444</v>
      </c>
      <c r="AI17" s="74" t="s">
        <v>2413</v>
      </c>
      <c r="AJ17" s="568" t="s">
        <v>2445</v>
      </c>
      <c r="AK17" s="568" t="s">
        <v>2427</v>
      </c>
      <c r="AL17" s="568" t="s">
        <v>2428</v>
      </c>
      <c r="AM17" s="74" t="s">
        <v>2446</v>
      </c>
      <c r="AO17" s="87" t="s">
        <v>2447</v>
      </c>
      <c r="AP17" s="20" t="s">
        <v>1839</v>
      </c>
      <c r="AQ17" s="16" t="s">
        <v>937</v>
      </c>
    </row>
    <row r="18" spans="1:43" s="16" customFormat="1" x14ac:dyDescent="0.25">
      <c r="A18" s="20" t="s">
        <v>865</v>
      </c>
      <c r="B18" s="20"/>
      <c r="C18" s="39" t="s">
        <v>921</v>
      </c>
      <c r="D18" s="4" t="s">
        <v>2957</v>
      </c>
      <c r="E18" s="534" t="s">
        <v>2287</v>
      </c>
      <c r="F18" s="20" t="s">
        <v>111</v>
      </c>
      <c r="G18" s="20" t="s">
        <v>2539</v>
      </c>
      <c r="H18" s="99" t="s">
        <v>922</v>
      </c>
      <c r="I18" s="20"/>
      <c r="J18" s="290"/>
      <c r="K18" s="39" t="s">
        <v>364</v>
      </c>
      <c r="L18" s="38" t="s">
        <v>325</v>
      </c>
      <c r="M18" s="684">
        <v>19.989999999999998</v>
      </c>
      <c r="N18" s="37">
        <v>1</v>
      </c>
      <c r="O18" s="553">
        <v>10</v>
      </c>
      <c r="P18" s="46">
        <f>1.2/16</f>
        <v>7.4999999999999997E-2</v>
      </c>
      <c r="Q18" s="549">
        <v>3.875</v>
      </c>
      <c r="R18" s="549">
        <v>2.625</v>
      </c>
      <c r="S18" s="550">
        <v>7.9375</v>
      </c>
      <c r="T18" s="46">
        <v>0.1</v>
      </c>
      <c r="U18" s="35">
        <v>7</v>
      </c>
      <c r="V18" s="35">
        <v>3</v>
      </c>
      <c r="W18" s="72">
        <v>1</v>
      </c>
      <c r="X18" s="94" t="s">
        <v>66</v>
      </c>
      <c r="Y18" s="93" t="s">
        <v>66</v>
      </c>
      <c r="Z18" s="93" t="s">
        <v>66</v>
      </c>
      <c r="AA18" s="291" t="s">
        <v>66</v>
      </c>
      <c r="AB18" s="46">
        <v>0.75</v>
      </c>
      <c r="AC18" s="35">
        <v>10.5</v>
      </c>
      <c r="AD18" s="35">
        <v>8.75</v>
      </c>
      <c r="AE18" s="72">
        <v>2</v>
      </c>
      <c r="AF18" s="44">
        <f>AC18*AD18*AE18/(12^3)</f>
        <v>0.10633680555555555</v>
      </c>
      <c r="AG18" s="53" t="s">
        <v>2452</v>
      </c>
      <c r="AH18" s="53" t="s">
        <v>2449</v>
      </c>
      <c r="AI18" s="53" t="s">
        <v>2450</v>
      </c>
      <c r="AJ18" s="53" t="s">
        <v>2451</v>
      </c>
      <c r="AL18" s="53"/>
      <c r="AM18" s="53"/>
      <c r="AN18" s="53"/>
      <c r="AO18" s="53" t="s">
        <v>2448</v>
      </c>
      <c r="AP18" s="20" t="s">
        <v>1839</v>
      </c>
      <c r="AQ18" s="16" t="s">
        <v>937</v>
      </c>
    </row>
    <row r="19" spans="1:43" s="16" customFormat="1" ht="13.8" x14ac:dyDescent="0.3">
      <c r="A19" s="20" t="s">
        <v>865</v>
      </c>
      <c r="B19" s="20"/>
      <c r="C19" s="534" t="s">
        <v>1069</v>
      </c>
      <c r="D19" s="4" t="s">
        <v>621</v>
      </c>
      <c r="E19" s="534" t="s">
        <v>2455</v>
      </c>
      <c r="F19" s="20" t="s">
        <v>111</v>
      </c>
      <c r="G19" s="20" t="s">
        <v>1517</v>
      </c>
      <c r="H19" s="68">
        <v>7391846015451</v>
      </c>
      <c r="I19" s="20"/>
      <c r="J19" s="290"/>
      <c r="K19" s="39" t="s">
        <v>523</v>
      </c>
      <c r="L19" s="38" t="s">
        <v>327</v>
      </c>
      <c r="M19" s="684">
        <v>129.99</v>
      </c>
      <c r="N19" s="37">
        <v>1</v>
      </c>
      <c r="O19" s="553">
        <v>10</v>
      </c>
      <c r="P19" s="46">
        <f>CONVERT(0.25,"kg","lbm")</f>
        <v>0.55115565546219392</v>
      </c>
      <c r="Q19" s="549">
        <f>CONVERT(295,"mm","in")</f>
        <v>11.614173228346457</v>
      </c>
      <c r="R19" s="549">
        <f>CONVERT(170,"mm","in")</f>
        <v>6.6929133858267713</v>
      </c>
      <c r="S19" s="550">
        <v>3.2</v>
      </c>
      <c r="T19" s="134"/>
      <c r="U19" s="270"/>
      <c r="V19" s="270"/>
      <c r="W19" s="547"/>
      <c r="X19" s="94" t="s">
        <v>66</v>
      </c>
      <c r="Y19" s="93" t="s">
        <v>66</v>
      </c>
      <c r="Z19" s="93" t="s">
        <v>66</v>
      </c>
      <c r="AA19" s="291" t="s">
        <v>66</v>
      </c>
      <c r="AB19" s="46">
        <v>8.6999999999999993</v>
      </c>
      <c r="AC19" s="35">
        <v>15.5</v>
      </c>
      <c r="AD19" s="35">
        <v>8.75</v>
      </c>
      <c r="AE19" s="72">
        <v>7</v>
      </c>
      <c r="AF19" s="44"/>
      <c r="AG19" s="53" t="s">
        <v>1648</v>
      </c>
      <c r="AH19" s="74" t="s">
        <v>2417</v>
      </c>
      <c r="AI19" s="74" t="s">
        <v>2413</v>
      </c>
      <c r="AJ19" s="74" t="s">
        <v>2421</v>
      </c>
      <c r="AK19" s="74" t="s">
        <v>2454</v>
      </c>
      <c r="AO19" s="76" t="s">
        <v>2453</v>
      </c>
      <c r="AP19" s="20" t="s">
        <v>1839</v>
      </c>
      <c r="AQ19" s="16" t="s">
        <v>937</v>
      </c>
    </row>
    <row r="20" spans="1:43" s="20" customFormat="1" ht="15.6" x14ac:dyDescent="0.3">
      <c r="A20" s="108" t="s">
        <v>438</v>
      </c>
      <c r="B20" s="108"/>
      <c r="C20" s="35"/>
      <c r="D20" s="35"/>
      <c r="E20" s="36"/>
      <c r="H20" s="265"/>
      <c r="K20" s="38"/>
      <c r="L20" s="38"/>
      <c r="M20" s="678"/>
      <c r="N20" s="37"/>
      <c r="O20" s="228"/>
      <c r="P20" s="46"/>
      <c r="Q20" s="192"/>
      <c r="R20" s="192"/>
      <c r="S20" s="193"/>
      <c r="T20" s="46"/>
      <c r="U20" s="35"/>
      <c r="V20" s="35"/>
      <c r="W20" s="72"/>
      <c r="X20" s="46"/>
      <c r="Y20" s="35"/>
      <c r="Z20" s="35"/>
      <c r="AA20" s="72"/>
      <c r="AB20" s="46"/>
      <c r="AC20" s="35"/>
      <c r="AD20" s="35"/>
      <c r="AE20" s="72"/>
      <c r="AF20" s="46"/>
    </row>
    <row r="21" spans="1:43" s="20" customFormat="1" ht="15.6" x14ac:dyDescent="0.3">
      <c r="A21" s="20" t="s">
        <v>865</v>
      </c>
      <c r="B21" s="108"/>
      <c r="C21" s="35" t="s">
        <v>2908</v>
      </c>
      <c r="D21" s="35" t="s">
        <v>649</v>
      </c>
      <c r="E21" s="36" t="s">
        <v>2910</v>
      </c>
      <c r="F21" s="20" t="s">
        <v>2909</v>
      </c>
      <c r="G21" s="20" t="s">
        <v>2265</v>
      </c>
      <c r="H21" s="60">
        <v>7391846017745</v>
      </c>
      <c r="K21" s="38" t="s">
        <v>523</v>
      </c>
      <c r="L21" s="38" t="s">
        <v>327</v>
      </c>
      <c r="M21" s="678">
        <v>24.99</v>
      </c>
      <c r="N21" s="37">
        <v>1</v>
      </c>
      <c r="O21" s="228">
        <v>15</v>
      </c>
      <c r="P21" s="46">
        <v>0.26</v>
      </c>
      <c r="Q21" s="549">
        <v>8.6</v>
      </c>
      <c r="R21" s="549">
        <v>4.0999999999999996</v>
      </c>
      <c r="S21" s="550">
        <v>2.5</v>
      </c>
      <c r="T21" s="46">
        <v>0.26</v>
      </c>
      <c r="U21" s="35">
        <v>9.1300000000000008</v>
      </c>
      <c r="V21" s="35">
        <v>1.75</v>
      </c>
      <c r="W21" s="72">
        <v>1.38</v>
      </c>
      <c r="X21" s="46" t="s">
        <v>66</v>
      </c>
      <c r="Y21" s="93" t="s">
        <v>66</v>
      </c>
      <c r="Z21" s="93" t="s">
        <v>66</v>
      </c>
      <c r="AA21" s="93" t="s">
        <v>66</v>
      </c>
      <c r="AB21" s="46">
        <v>4.3</v>
      </c>
      <c r="AC21" s="35">
        <v>10</v>
      </c>
      <c r="AD21" s="35">
        <v>5.25</v>
      </c>
      <c r="AE21" s="72">
        <v>10.5</v>
      </c>
      <c r="AF21" s="46"/>
    </row>
    <row r="22" spans="1:43" s="16" customFormat="1" x14ac:dyDescent="0.25">
      <c r="A22" s="20" t="s">
        <v>865</v>
      </c>
      <c r="B22" s="20"/>
      <c r="C22" s="4" t="s">
        <v>468</v>
      </c>
      <c r="D22" s="4" t="s">
        <v>649</v>
      </c>
      <c r="E22" s="4" t="s">
        <v>1500</v>
      </c>
      <c r="F22" s="20" t="s">
        <v>930</v>
      </c>
      <c r="G22" s="20" t="s">
        <v>2265</v>
      </c>
      <c r="H22" s="5" t="s">
        <v>511</v>
      </c>
      <c r="I22" s="20"/>
      <c r="J22" s="290"/>
      <c r="K22" s="39" t="s">
        <v>523</v>
      </c>
      <c r="L22" s="38" t="s">
        <v>327</v>
      </c>
      <c r="M22" s="682">
        <v>19.989999999999998</v>
      </c>
      <c r="N22" s="37">
        <v>1</v>
      </c>
      <c r="O22" s="281">
        <v>15</v>
      </c>
      <c r="P22" s="46">
        <f>CONVERT(0.116,"kg","lbm")</f>
        <v>0.25573622413445801</v>
      </c>
      <c r="Q22" s="549">
        <f>CONVERT(218,"mm","in")</f>
        <v>8.5826771653543314</v>
      </c>
      <c r="R22" s="549">
        <f>CONVERT(104,"mm","in")</f>
        <v>4.0944881889763778</v>
      </c>
      <c r="S22" s="550">
        <v>2.5</v>
      </c>
      <c r="T22" s="46">
        <v>0.25573622413445796</v>
      </c>
      <c r="U22" s="35">
        <v>9.125</v>
      </c>
      <c r="V22" s="35">
        <v>1.75</v>
      </c>
      <c r="W22" s="72">
        <v>1.375</v>
      </c>
      <c r="X22" s="94" t="s">
        <v>66</v>
      </c>
      <c r="Y22" s="93" t="s">
        <v>66</v>
      </c>
      <c r="Z22" s="93" t="s">
        <v>66</v>
      </c>
      <c r="AA22" s="291" t="s">
        <v>66</v>
      </c>
      <c r="AB22" s="46">
        <v>4.4000000000000004</v>
      </c>
      <c r="AC22" s="35">
        <v>9.75</v>
      </c>
      <c r="AD22" s="35">
        <v>5</v>
      </c>
      <c r="AE22" s="72">
        <v>10.25</v>
      </c>
      <c r="AF22" s="44">
        <f t="shared" ref="AF22:AF32" si="3">AC22*AD22*AE22/(12^3)</f>
        <v>0.28917100694444442</v>
      </c>
      <c r="AG22" s="86" t="s">
        <v>2456</v>
      </c>
      <c r="AH22" s="86" t="s">
        <v>2457</v>
      </c>
      <c r="AI22" s="86" t="s">
        <v>2458</v>
      </c>
      <c r="AJ22" s="39" t="s">
        <v>2464</v>
      </c>
      <c r="AK22" s="86" t="s">
        <v>2460</v>
      </c>
      <c r="AL22" s="86"/>
      <c r="AM22" s="86"/>
      <c r="AN22" s="86"/>
      <c r="AO22" s="85" t="s">
        <v>2461</v>
      </c>
      <c r="AP22" s="20" t="s">
        <v>1839</v>
      </c>
      <c r="AQ22" s="16" t="s">
        <v>937</v>
      </c>
    </row>
    <row r="23" spans="1:43" s="16" customFormat="1" x14ac:dyDescent="0.25">
      <c r="A23" s="20" t="s">
        <v>865</v>
      </c>
      <c r="B23" s="20"/>
      <c r="C23" s="85" t="s">
        <v>946</v>
      </c>
      <c r="D23" s="4" t="s">
        <v>649</v>
      </c>
      <c r="E23" s="85" t="s">
        <v>1500</v>
      </c>
      <c r="F23" s="20" t="s">
        <v>930</v>
      </c>
      <c r="G23" s="20" t="s">
        <v>2539</v>
      </c>
      <c r="H23" s="554">
        <v>7391846014683</v>
      </c>
      <c r="I23" s="20"/>
      <c r="J23" s="290"/>
      <c r="K23" s="39" t="s">
        <v>523</v>
      </c>
      <c r="L23" s="38" t="s">
        <v>327</v>
      </c>
      <c r="M23" s="682">
        <v>19.989999999999998</v>
      </c>
      <c r="N23" s="37">
        <v>1</v>
      </c>
      <c r="O23" s="281">
        <v>5</v>
      </c>
      <c r="P23" s="46">
        <f>CONVERT(0.116,"kg","lbm")</f>
        <v>0.25573622413445801</v>
      </c>
      <c r="Q23" s="549">
        <f>CONVERT(218,"mm","in")</f>
        <v>8.5826771653543314</v>
      </c>
      <c r="R23" s="549">
        <f>CONVERT(104,"mm","in")</f>
        <v>4.0944881889763778</v>
      </c>
      <c r="S23" s="550">
        <v>2.5</v>
      </c>
      <c r="T23" s="46">
        <v>0.37478584571429185</v>
      </c>
      <c r="U23" s="35">
        <v>5.5</v>
      </c>
      <c r="V23" s="35">
        <v>1.25</v>
      </c>
      <c r="W23" s="72">
        <v>11.8125</v>
      </c>
      <c r="X23" s="94" t="s">
        <v>66</v>
      </c>
      <c r="Y23" s="93" t="s">
        <v>66</v>
      </c>
      <c r="Z23" s="93" t="s">
        <v>66</v>
      </c>
      <c r="AA23" s="291" t="s">
        <v>66</v>
      </c>
      <c r="AB23" s="46">
        <v>2.1</v>
      </c>
      <c r="AC23" s="35">
        <v>12</v>
      </c>
      <c r="AD23" s="35">
        <v>5.75</v>
      </c>
      <c r="AE23" s="72">
        <v>5.75</v>
      </c>
      <c r="AF23" s="44">
        <f t="shared" si="3"/>
        <v>0.22960069444444445</v>
      </c>
      <c r="AG23" s="86" t="s">
        <v>2456</v>
      </c>
      <c r="AH23" s="86" t="s">
        <v>2457</v>
      </c>
      <c r="AI23" s="86" t="s">
        <v>2458</v>
      </c>
      <c r="AJ23" s="39" t="s">
        <v>2464</v>
      </c>
      <c r="AK23" s="86" t="s">
        <v>2460</v>
      </c>
      <c r="AL23" s="86"/>
      <c r="AM23" s="86"/>
      <c r="AN23" s="86"/>
      <c r="AO23" s="85" t="s">
        <v>2461</v>
      </c>
      <c r="AP23" s="20" t="s">
        <v>1839</v>
      </c>
      <c r="AQ23" s="16" t="s">
        <v>937</v>
      </c>
    </row>
    <row r="24" spans="1:43" s="16" customFormat="1" x14ac:dyDescent="0.25">
      <c r="A24" s="20" t="s">
        <v>865</v>
      </c>
      <c r="B24" s="20"/>
      <c r="C24" s="4" t="s">
        <v>469</v>
      </c>
      <c r="D24" s="4" t="s">
        <v>649</v>
      </c>
      <c r="E24" s="4" t="s">
        <v>2295</v>
      </c>
      <c r="F24" s="20" t="s">
        <v>51</v>
      </c>
      <c r="G24" s="20" t="s">
        <v>2265</v>
      </c>
      <c r="H24" s="5" t="s">
        <v>512</v>
      </c>
      <c r="I24" s="20"/>
      <c r="J24" s="290"/>
      <c r="K24" s="39" t="s">
        <v>523</v>
      </c>
      <c r="L24" s="38" t="s">
        <v>327</v>
      </c>
      <c r="M24" s="682">
        <v>19.989999999999998</v>
      </c>
      <c r="N24" s="37">
        <v>1</v>
      </c>
      <c r="O24" s="281">
        <v>15</v>
      </c>
      <c r="P24" s="46">
        <f t="shared" ref="P24:P31" si="4">CONVERT(0.116,"kg","lbm")</f>
        <v>0.25573622413445801</v>
      </c>
      <c r="Q24" s="549">
        <f t="shared" ref="Q24:Q32" si="5">CONVERT(218,"mm","in")</f>
        <v>8.5826771653543314</v>
      </c>
      <c r="R24" s="549">
        <f t="shared" ref="R24:R31" si="6">CONVERT(104,"mm","in")</f>
        <v>4.0944881889763778</v>
      </c>
      <c r="S24" s="550">
        <v>2.5</v>
      </c>
      <c r="T24" s="46">
        <v>0.25573622413445796</v>
      </c>
      <c r="U24" s="35">
        <v>9.125</v>
      </c>
      <c r="V24" s="35">
        <v>1.75</v>
      </c>
      <c r="W24" s="72">
        <v>1.375</v>
      </c>
      <c r="X24" s="94" t="s">
        <v>66</v>
      </c>
      <c r="Y24" s="93" t="s">
        <v>66</v>
      </c>
      <c r="Z24" s="93" t="s">
        <v>66</v>
      </c>
      <c r="AA24" s="291" t="s">
        <v>66</v>
      </c>
      <c r="AB24" s="46">
        <v>4.4000000000000004</v>
      </c>
      <c r="AC24" s="35">
        <v>9.75</v>
      </c>
      <c r="AD24" s="35">
        <v>5</v>
      </c>
      <c r="AE24" s="72">
        <v>10.25</v>
      </c>
      <c r="AF24" s="44">
        <f t="shared" si="3"/>
        <v>0.28917100694444442</v>
      </c>
      <c r="AG24" s="86" t="s">
        <v>2456</v>
      </c>
      <c r="AH24" s="86" t="s">
        <v>2457</v>
      </c>
      <c r="AI24" s="86" t="s">
        <v>2458</v>
      </c>
      <c r="AJ24" s="39" t="s">
        <v>2465</v>
      </c>
      <c r="AK24" s="86" t="s">
        <v>2460</v>
      </c>
      <c r="AL24" s="86"/>
      <c r="AM24" s="86"/>
      <c r="AN24" s="86"/>
      <c r="AO24" s="85" t="s">
        <v>2461</v>
      </c>
      <c r="AP24" s="20" t="s">
        <v>1839</v>
      </c>
      <c r="AQ24" s="16" t="s">
        <v>937</v>
      </c>
    </row>
    <row r="25" spans="1:43" s="16" customFormat="1" x14ac:dyDescent="0.25">
      <c r="A25" s="20" t="s">
        <v>865</v>
      </c>
      <c r="B25" s="20"/>
      <c r="C25" s="85" t="s">
        <v>939</v>
      </c>
      <c r="D25" s="4" t="s">
        <v>649</v>
      </c>
      <c r="E25" s="4" t="s">
        <v>2295</v>
      </c>
      <c r="F25" s="20" t="s">
        <v>51</v>
      </c>
      <c r="G25" s="20" t="s">
        <v>2539</v>
      </c>
      <c r="H25" s="118">
        <v>7391846014096</v>
      </c>
      <c r="I25" s="20"/>
      <c r="J25" s="290"/>
      <c r="K25" s="39" t="s">
        <v>523</v>
      </c>
      <c r="L25" s="38" t="s">
        <v>327</v>
      </c>
      <c r="M25" s="682">
        <v>19.989999999999998</v>
      </c>
      <c r="N25" s="37">
        <v>1</v>
      </c>
      <c r="O25" s="281">
        <v>5</v>
      </c>
      <c r="P25" s="46">
        <f t="shared" si="4"/>
        <v>0.25573622413445801</v>
      </c>
      <c r="Q25" s="549">
        <f t="shared" si="5"/>
        <v>8.5826771653543314</v>
      </c>
      <c r="R25" s="549">
        <f t="shared" si="6"/>
        <v>4.0944881889763778</v>
      </c>
      <c r="S25" s="550">
        <v>2.5</v>
      </c>
      <c r="T25" s="46">
        <v>0.36376273260504799</v>
      </c>
      <c r="U25" s="35">
        <v>5.5</v>
      </c>
      <c r="V25" s="35">
        <v>1.25</v>
      </c>
      <c r="W25" s="72">
        <v>11.8125</v>
      </c>
      <c r="X25" s="94" t="s">
        <v>66</v>
      </c>
      <c r="Y25" s="93" t="s">
        <v>66</v>
      </c>
      <c r="Z25" s="93" t="s">
        <v>66</v>
      </c>
      <c r="AA25" s="291" t="s">
        <v>66</v>
      </c>
      <c r="AB25" s="46">
        <v>2.0499999999999998</v>
      </c>
      <c r="AC25" s="35">
        <v>12</v>
      </c>
      <c r="AD25" s="35">
        <v>5.75</v>
      </c>
      <c r="AE25" s="72">
        <v>5.75</v>
      </c>
      <c r="AF25" s="44">
        <f t="shared" si="3"/>
        <v>0.22960069444444445</v>
      </c>
      <c r="AG25" s="86" t="s">
        <v>2456</v>
      </c>
      <c r="AH25" s="86" t="s">
        <v>2457</v>
      </c>
      <c r="AI25" s="86" t="s">
        <v>2458</v>
      </c>
      <c r="AJ25" s="39" t="s">
        <v>2465</v>
      </c>
      <c r="AK25" s="86" t="s">
        <v>2460</v>
      </c>
      <c r="AL25" s="86"/>
      <c r="AM25" s="86"/>
      <c r="AN25" s="86"/>
      <c r="AO25" s="85" t="s">
        <v>2461</v>
      </c>
      <c r="AP25" s="20" t="s">
        <v>1839</v>
      </c>
      <c r="AQ25" s="16" t="s">
        <v>937</v>
      </c>
    </row>
    <row r="26" spans="1:43" s="16" customFormat="1" x14ac:dyDescent="0.25">
      <c r="A26" s="20" t="s">
        <v>865</v>
      </c>
      <c r="B26" s="20"/>
      <c r="C26" s="85" t="s">
        <v>616</v>
      </c>
      <c r="D26" s="4" t="s">
        <v>649</v>
      </c>
      <c r="E26" s="85" t="s">
        <v>2296</v>
      </c>
      <c r="F26" s="20" t="s">
        <v>111</v>
      </c>
      <c r="G26" s="20" t="s">
        <v>2265</v>
      </c>
      <c r="H26" s="68">
        <v>7391846014201</v>
      </c>
      <c r="I26" s="20"/>
      <c r="J26" s="290"/>
      <c r="K26" s="39" t="s">
        <v>523</v>
      </c>
      <c r="L26" s="38" t="s">
        <v>327</v>
      </c>
      <c r="M26" s="682">
        <v>19.989999999999998</v>
      </c>
      <c r="N26" s="37">
        <v>1</v>
      </c>
      <c r="O26" s="281">
        <v>15</v>
      </c>
      <c r="P26" s="46">
        <f t="shared" si="4"/>
        <v>0.25573622413445801</v>
      </c>
      <c r="Q26" s="549">
        <f t="shared" si="5"/>
        <v>8.5826771653543314</v>
      </c>
      <c r="R26" s="549">
        <f t="shared" si="6"/>
        <v>4.0944881889763778</v>
      </c>
      <c r="S26" s="550">
        <v>2.5</v>
      </c>
      <c r="T26" s="46">
        <v>0.25573622413445796</v>
      </c>
      <c r="U26" s="35">
        <v>9.125</v>
      </c>
      <c r="V26" s="35">
        <v>1.75</v>
      </c>
      <c r="W26" s="72">
        <v>1.375</v>
      </c>
      <c r="X26" s="94" t="s">
        <v>66</v>
      </c>
      <c r="Y26" s="93" t="s">
        <v>66</v>
      </c>
      <c r="Z26" s="93" t="s">
        <v>66</v>
      </c>
      <c r="AA26" s="291" t="s">
        <v>66</v>
      </c>
      <c r="AB26" s="46">
        <v>4.4000000000000004</v>
      </c>
      <c r="AC26" s="35">
        <v>9.75</v>
      </c>
      <c r="AD26" s="35">
        <v>5</v>
      </c>
      <c r="AE26" s="72">
        <v>10.25</v>
      </c>
      <c r="AF26" s="44">
        <f t="shared" si="3"/>
        <v>0.28917100694444442</v>
      </c>
      <c r="AG26" s="86" t="s">
        <v>2456</v>
      </c>
      <c r="AH26" s="86" t="s">
        <v>2457</v>
      </c>
      <c r="AI26" s="86" t="s">
        <v>2458</v>
      </c>
      <c r="AJ26" s="39" t="s">
        <v>2466</v>
      </c>
      <c r="AK26" s="86" t="s">
        <v>2460</v>
      </c>
      <c r="AL26" s="86"/>
      <c r="AM26" s="86"/>
      <c r="AN26" s="86"/>
      <c r="AO26" s="85" t="s">
        <v>2461</v>
      </c>
      <c r="AP26" s="20" t="s">
        <v>1839</v>
      </c>
      <c r="AQ26" s="16" t="s">
        <v>937</v>
      </c>
    </row>
    <row r="27" spans="1:43" s="16" customFormat="1" x14ac:dyDescent="0.25">
      <c r="A27" s="20" t="s">
        <v>865</v>
      </c>
      <c r="B27" s="20"/>
      <c r="C27" s="85" t="s">
        <v>940</v>
      </c>
      <c r="D27" s="4" t="s">
        <v>649</v>
      </c>
      <c r="E27" s="85" t="s">
        <v>2296</v>
      </c>
      <c r="F27" s="20" t="s">
        <v>111</v>
      </c>
      <c r="G27" s="20" t="s">
        <v>2539</v>
      </c>
      <c r="H27" s="118">
        <v>7391846014058</v>
      </c>
      <c r="I27" s="20"/>
      <c r="J27" s="290"/>
      <c r="K27" s="39" t="s">
        <v>523</v>
      </c>
      <c r="L27" s="38" t="s">
        <v>327</v>
      </c>
      <c r="M27" s="682">
        <v>19.989999999999998</v>
      </c>
      <c r="N27" s="37">
        <v>1</v>
      </c>
      <c r="O27" s="281">
        <v>5</v>
      </c>
      <c r="P27" s="46">
        <f t="shared" si="4"/>
        <v>0.25573622413445801</v>
      </c>
      <c r="Q27" s="549">
        <f t="shared" si="5"/>
        <v>8.5826771653543314</v>
      </c>
      <c r="R27" s="549">
        <f t="shared" si="6"/>
        <v>4.0944881889763778</v>
      </c>
      <c r="S27" s="550">
        <v>2.5</v>
      </c>
      <c r="T27" s="46">
        <v>0.37478584571429185</v>
      </c>
      <c r="U27" s="35">
        <v>5.5</v>
      </c>
      <c r="V27" s="35">
        <v>1.25</v>
      </c>
      <c r="W27" s="72">
        <v>11.8125</v>
      </c>
      <c r="X27" s="94" t="s">
        <v>66</v>
      </c>
      <c r="Y27" s="93" t="s">
        <v>66</v>
      </c>
      <c r="Z27" s="93" t="s">
        <v>66</v>
      </c>
      <c r="AA27" s="291" t="s">
        <v>66</v>
      </c>
      <c r="AB27" s="46">
        <v>2.0499999999999998</v>
      </c>
      <c r="AC27" s="35">
        <v>12</v>
      </c>
      <c r="AD27" s="35">
        <v>5.75</v>
      </c>
      <c r="AE27" s="72">
        <v>5.75</v>
      </c>
      <c r="AF27" s="44">
        <f t="shared" si="3"/>
        <v>0.22960069444444445</v>
      </c>
      <c r="AG27" s="86" t="s">
        <v>2456</v>
      </c>
      <c r="AH27" s="86" t="s">
        <v>2457</v>
      </c>
      <c r="AI27" s="86" t="s">
        <v>2458</v>
      </c>
      <c r="AJ27" s="39" t="s">
        <v>2466</v>
      </c>
      <c r="AK27" s="86" t="s">
        <v>2460</v>
      </c>
      <c r="AL27" s="86"/>
      <c r="AM27" s="86"/>
      <c r="AN27" s="86"/>
      <c r="AO27" s="85" t="s">
        <v>2461</v>
      </c>
      <c r="AP27" s="20" t="s">
        <v>1839</v>
      </c>
      <c r="AQ27" s="16" t="s">
        <v>937</v>
      </c>
    </row>
    <row r="28" spans="1:43" s="16" customFormat="1" x14ac:dyDescent="0.25">
      <c r="A28" s="20" t="s">
        <v>865</v>
      </c>
      <c r="B28" s="20"/>
      <c r="C28" s="85" t="s">
        <v>617</v>
      </c>
      <c r="D28" s="4" t="s">
        <v>649</v>
      </c>
      <c r="E28" s="85" t="s">
        <v>2297</v>
      </c>
      <c r="F28" s="20" t="s">
        <v>615</v>
      </c>
      <c r="G28" s="20" t="s">
        <v>2265</v>
      </c>
      <c r="H28" s="68">
        <v>7391846013389</v>
      </c>
      <c r="I28" s="20"/>
      <c r="J28" s="290"/>
      <c r="K28" s="39" t="s">
        <v>523</v>
      </c>
      <c r="L28" s="38" t="s">
        <v>327</v>
      </c>
      <c r="M28" s="682">
        <v>19.989999999999998</v>
      </c>
      <c r="N28" s="37">
        <v>1</v>
      </c>
      <c r="O28" s="281">
        <v>15</v>
      </c>
      <c r="P28" s="46">
        <f t="shared" si="4"/>
        <v>0.25573622413445801</v>
      </c>
      <c r="Q28" s="549">
        <f t="shared" si="5"/>
        <v>8.5826771653543314</v>
      </c>
      <c r="R28" s="549">
        <f t="shared" si="6"/>
        <v>4.0944881889763778</v>
      </c>
      <c r="S28" s="550">
        <v>2.5</v>
      </c>
      <c r="T28" s="46">
        <v>0.25573622413445796</v>
      </c>
      <c r="U28" s="35">
        <v>9.125</v>
      </c>
      <c r="V28" s="35">
        <v>1.75</v>
      </c>
      <c r="W28" s="72">
        <v>1.375</v>
      </c>
      <c r="X28" s="94" t="s">
        <v>66</v>
      </c>
      <c r="Y28" s="93" t="s">
        <v>66</v>
      </c>
      <c r="Z28" s="93" t="s">
        <v>66</v>
      </c>
      <c r="AA28" s="291" t="s">
        <v>66</v>
      </c>
      <c r="AB28" s="46">
        <v>4.4000000000000004</v>
      </c>
      <c r="AC28" s="35">
        <v>9.75</v>
      </c>
      <c r="AD28" s="35">
        <v>5</v>
      </c>
      <c r="AE28" s="72">
        <v>10.25</v>
      </c>
      <c r="AF28" s="44">
        <f t="shared" si="3"/>
        <v>0.28917100694444442</v>
      </c>
      <c r="AG28" s="86" t="s">
        <v>2456</v>
      </c>
      <c r="AH28" s="86" t="s">
        <v>2457</v>
      </c>
      <c r="AI28" s="86" t="s">
        <v>2458</v>
      </c>
      <c r="AJ28" s="39" t="s">
        <v>2467</v>
      </c>
      <c r="AK28" s="86" t="s">
        <v>2460</v>
      </c>
      <c r="AL28" s="86"/>
      <c r="AM28" s="86"/>
      <c r="AN28" s="86"/>
      <c r="AO28" s="85" t="s">
        <v>2461</v>
      </c>
      <c r="AP28" s="20" t="s">
        <v>1839</v>
      </c>
      <c r="AQ28" s="16" t="s">
        <v>937</v>
      </c>
    </row>
    <row r="29" spans="1:43" s="16" customFormat="1" x14ac:dyDescent="0.25">
      <c r="A29" s="20" t="s">
        <v>865</v>
      </c>
      <c r="B29" s="20"/>
      <c r="C29" s="4" t="s">
        <v>618</v>
      </c>
      <c r="D29" s="4" t="s">
        <v>649</v>
      </c>
      <c r="E29" s="85" t="s">
        <v>2298</v>
      </c>
      <c r="F29" s="20" t="s">
        <v>50</v>
      </c>
      <c r="G29" s="20" t="s">
        <v>2265</v>
      </c>
      <c r="H29" s="68">
        <v>7391846013419</v>
      </c>
      <c r="I29" s="20"/>
      <c r="J29" s="290"/>
      <c r="K29" s="39" t="s">
        <v>523</v>
      </c>
      <c r="L29" s="38" t="s">
        <v>327</v>
      </c>
      <c r="M29" s="682">
        <v>19.989999999999998</v>
      </c>
      <c r="N29" s="37">
        <v>1</v>
      </c>
      <c r="O29" s="281">
        <v>15</v>
      </c>
      <c r="P29" s="46">
        <f t="shared" si="4"/>
        <v>0.25573622413445801</v>
      </c>
      <c r="Q29" s="549">
        <f t="shared" si="5"/>
        <v>8.5826771653543314</v>
      </c>
      <c r="R29" s="549">
        <f t="shared" si="6"/>
        <v>4.0944881889763778</v>
      </c>
      <c r="S29" s="550">
        <v>2.5</v>
      </c>
      <c r="T29" s="46">
        <v>0.25573622413445796</v>
      </c>
      <c r="U29" s="35">
        <v>9.125</v>
      </c>
      <c r="V29" s="35">
        <v>1.75</v>
      </c>
      <c r="W29" s="72">
        <v>1.375</v>
      </c>
      <c r="X29" s="94" t="s">
        <v>66</v>
      </c>
      <c r="Y29" s="93" t="s">
        <v>66</v>
      </c>
      <c r="Z29" s="93" t="s">
        <v>66</v>
      </c>
      <c r="AA29" s="291" t="s">
        <v>66</v>
      </c>
      <c r="AB29" s="46">
        <v>4.4000000000000004</v>
      </c>
      <c r="AC29" s="35">
        <v>9.75</v>
      </c>
      <c r="AD29" s="35">
        <v>5</v>
      </c>
      <c r="AE29" s="72">
        <v>10.25</v>
      </c>
      <c r="AF29" s="44">
        <f t="shared" si="3"/>
        <v>0.28917100694444442</v>
      </c>
      <c r="AG29" s="86" t="s">
        <v>2456</v>
      </c>
      <c r="AH29" s="86" t="s">
        <v>2457</v>
      </c>
      <c r="AI29" s="86" t="s">
        <v>2458</v>
      </c>
      <c r="AJ29" s="39" t="s">
        <v>2468</v>
      </c>
      <c r="AK29" s="86" t="s">
        <v>2460</v>
      </c>
      <c r="AL29" s="86"/>
      <c r="AM29" s="86"/>
      <c r="AN29" s="86"/>
      <c r="AO29" s="85" t="s">
        <v>2461</v>
      </c>
      <c r="AP29" s="20" t="s">
        <v>1839</v>
      </c>
      <c r="AQ29" s="16" t="s">
        <v>937</v>
      </c>
    </row>
    <row r="30" spans="1:43" s="16" customFormat="1" x14ac:dyDescent="0.25">
      <c r="A30" s="20" t="s">
        <v>865</v>
      </c>
      <c r="B30" s="20"/>
      <c r="C30" s="85" t="s">
        <v>619</v>
      </c>
      <c r="D30" s="4" t="s">
        <v>649</v>
      </c>
      <c r="E30" s="85" t="s">
        <v>2299</v>
      </c>
      <c r="F30" s="20" t="s">
        <v>349</v>
      </c>
      <c r="G30" s="20" t="s">
        <v>2265</v>
      </c>
      <c r="H30" s="68">
        <v>7391846013426</v>
      </c>
      <c r="I30" s="20"/>
      <c r="J30" s="290"/>
      <c r="K30" s="39" t="s">
        <v>523</v>
      </c>
      <c r="L30" s="38" t="s">
        <v>327</v>
      </c>
      <c r="M30" s="682">
        <v>19.989999999999998</v>
      </c>
      <c r="N30" s="37">
        <v>1</v>
      </c>
      <c r="O30" s="281">
        <v>15</v>
      </c>
      <c r="P30" s="46">
        <f t="shared" si="4"/>
        <v>0.25573622413445801</v>
      </c>
      <c r="Q30" s="549">
        <f t="shared" si="5"/>
        <v>8.5826771653543314</v>
      </c>
      <c r="R30" s="549">
        <f t="shared" si="6"/>
        <v>4.0944881889763778</v>
      </c>
      <c r="S30" s="550">
        <v>2.5</v>
      </c>
      <c r="T30" s="46">
        <v>0.25573622413445796</v>
      </c>
      <c r="U30" s="35">
        <v>9.125</v>
      </c>
      <c r="V30" s="35">
        <v>1.75</v>
      </c>
      <c r="W30" s="72">
        <v>1.375</v>
      </c>
      <c r="X30" s="94" t="s">
        <v>66</v>
      </c>
      <c r="Y30" s="93" t="s">
        <v>66</v>
      </c>
      <c r="Z30" s="93" t="s">
        <v>66</v>
      </c>
      <c r="AA30" s="291" t="s">
        <v>66</v>
      </c>
      <c r="AB30" s="46">
        <v>4.4000000000000004</v>
      </c>
      <c r="AC30" s="35">
        <v>9.75</v>
      </c>
      <c r="AD30" s="35">
        <v>5</v>
      </c>
      <c r="AE30" s="72">
        <v>10.25</v>
      </c>
      <c r="AF30" s="44">
        <f t="shared" si="3"/>
        <v>0.28917100694444442</v>
      </c>
      <c r="AG30" s="86" t="s">
        <v>2456</v>
      </c>
      <c r="AH30" s="86" t="s">
        <v>2457</v>
      </c>
      <c r="AI30" s="86" t="s">
        <v>2458</v>
      </c>
      <c r="AJ30" s="39" t="s">
        <v>2469</v>
      </c>
      <c r="AK30" s="86" t="s">
        <v>2460</v>
      </c>
      <c r="AL30" s="86"/>
      <c r="AM30" s="86"/>
      <c r="AN30" s="86"/>
      <c r="AO30" s="85" t="s">
        <v>2461</v>
      </c>
      <c r="AP30" s="20" t="s">
        <v>1839</v>
      </c>
      <c r="AQ30" s="16" t="s">
        <v>937</v>
      </c>
    </row>
    <row r="31" spans="1:43" s="16" customFormat="1" x14ac:dyDescent="0.25">
      <c r="A31" s="20" t="s">
        <v>865</v>
      </c>
      <c r="B31" s="20"/>
      <c r="C31" s="4" t="s">
        <v>3192</v>
      </c>
      <c r="D31" s="4" t="s">
        <v>649</v>
      </c>
      <c r="E31" s="4" t="s">
        <v>671</v>
      </c>
      <c r="F31" s="20" t="s">
        <v>2300</v>
      </c>
      <c r="G31" s="20" t="s">
        <v>2265</v>
      </c>
      <c r="H31" s="5" t="s">
        <v>600</v>
      </c>
      <c r="I31" s="20"/>
      <c r="J31" s="290"/>
      <c r="K31" s="39" t="s">
        <v>523</v>
      </c>
      <c r="L31" s="38" t="s">
        <v>327</v>
      </c>
      <c r="M31" s="682">
        <v>19.989999999999998</v>
      </c>
      <c r="N31" s="37">
        <v>1</v>
      </c>
      <c r="O31" s="281">
        <v>15</v>
      </c>
      <c r="P31" s="46">
        <f t="shared" si="4"/>
        <v>0.25573622413445801</v>
      </c>
      <c r="Q31" s="549">
        <f t="shared" si="5"/>
        <v>8.5826771653543314</v>
      </c>
      <c r="R31" s="549">
        <f t="shared" si="6"/>
        <v>4.0944881889763778</v>
      </c>
      <c r="S31" s="550">
        <v>2.5</v>
      </c>
      <c r="T31" s="46">
        <v>0.25573622413445796</v>
      </c>
      <c r="U31" s="35">
        <v>9.125</v>
      </c>
      <c r="V31" s="35">
        <v>1.75</v>
      </c>
      <c r="W31" s="72">
        <v>1.375</v>
      </c>
      <c r="X31" s="94" t="s">
        <v>66</v>
      </c>
      <c r="Y31" s="93" t="s">
        <v>66</v>
      </c>
      <c r="Z31" s="93" t="s">
        <v>66</v>
      </c>
      <c r="AA31" s="291" t="s">
        <v>66</v>
      </c>
      <c r="AB31" s="46">
        <v>4.4000000000000004</v>
      </c>
      <c r="AC31" s="35">
        <v>9.75</v>
      </c>
      <c r="AD31" s="35">
        <v>5</v>
      </c>
      <c r="AE31" s="72">
        <v>10.25</v>
      </c>
      <c r="AF31" s="44">
        <f t="shared" si="3"/>
        <v>0.28917100694444442</v>
      </c>
      <c r="AG31" s="86" t="s">
        <v>2456</v>
      </c>
      <c r="AH31" s="86" t="s">
        <v>2457</v>
      </c>
      <c r="AI31" s="86" t="s">
        <v>2458</v>
      </c>
      <c r="AJ31" s="39" t="s">
        <v>2459</v>
      </c>
      <c r="AK31" s="86" t="s">
        <v>2460</v>
      </c>
      <c r="AL31" s="86"/>
      <c r="AM31" s="86"/>
      <c r="AN31" s="86"/>
      <c r="AO31" s="85" t="s">
        <v>2461</v>
      </c>
      <c r="AP31" s="20" t="s">
        <v>1839</v>
      </c>
      <c r="AQ31" s="16" t="s">
        <v>937</v>
      </c>
    </row>
    <row r="32" spans="1:43" s="16" customFormat="1" x14ac:dyDescent="0.25">
      <c r="A32" s="20" t="s">
        <v>865</v>
      </c>
      <c r="B32" s="20"/>
      <c r="C32" s="4" t="s">
        <v>467</v>
      </c>
      <c r="D32" s="4" t="s">
        <v>621</v>
      </c>
      <c r="E32" s="4" t="s">
        <v>1500</v>
      </c>
      <c r="F32" s="20" t="s">
        <v>930</v>
      </c>
      <c r="G32" s="20" t="s">
        <v>2265</v>
      </c>
      <c r="H32" s="5" t="s">
        <v>510</v>
      </c>
      <c r="I32" s="20"/>
      <c r="J32" s="290"/>
      <c r="K32" s="39" t="s">
        <v>523</v>
      </c>
      <c r="L32" s="38" t="s">
        <v>327</v>
      </c>
      <c r="M32" s="682">
        <v>19.989999999999998</v>
      </c>
      <c r="N32" s="37">
        <v>1</v>
      </c>
      <c r="O32" s="281">
        <v>15</v>
      </c>
      <c r="P32" s="46">
        <f>CONVERT(0.11,"kg","lbm")</f>
        <v>0.24250848840336534</v>
      </c>
      <c r="Q32" s="549">
        <f t="shared" si="5"/>
        <v>8.5826771653543314</v>
      </c>
      <c r="R32" s="549">
        <f t="shared" ref="R32:R40" si="7">CONVERT(104,"mm","in")</f>
        <v>4.0944881889763778</v>
      </c>
      <c r="S32" s="550">
        <v>2</v>
      </c>
      <c r="T32" s="46">
        <v>0.24250848840336534</v>
      </c>
      <c r="U32" s="35">
        <v>9.1</v>
      </c>
      <c r="V32" s="35">
        <v>1.9</v>
      </c>
      <c r="W32" s="72">
        <v>1.4</v>
      </c>
      <c r="X32" s="94" t="s">
        <v>66</v>
      </c>
      <c r="Y32" s="93" t="s">
        <v>66</v>
      </c>
      <c r="Z32" s="93" t="s">
        <v>66</v>
      </c>
      <c r="AA32" s="291" t="s">
        <v>66</v>
      </c>
      <c r="AB32" s="46">
        <v>4.12</v>
      </c>
      <c r="AC32" s="35">
        <v>9.75</v>
      </c>
      <c r="AD32" s="35">
        <v>5</v>
      </c>
      <c r="AE32" s="72">
        <v>10.25</v>
      </c>
      <c r="AF32" s="44">
        <f t="shared" si="3"/>
        <v>0.28917100694444442</v>
      </c>
      <c r="AG32" s="86" t="s">
        <v>2462</v>
      </c>
      <c r="AH32" s="86" t="s">
        <v>2457</v>
      </c>
      <c r="AI32" s="86" t="s">
        <v>2458</v>
      </c>
      <c r="AJ32" s="39" t="s">
        <v>2592</v>
      </c>
      <c r="AK32" s="86" t="s">
        <v>2470</v>
      </c>
      <c r="AL32" s="86"/>
      <c r="AM32" s="86"/>
      <c r="AN32" s="86"/>
      <c r="AO32" s="85" t="s">
        <v>2463</v>
      </c>
      <c r="AP32" s="20" t="s">
        <v>1839</v>
      </c>
      <c r="AQ32" s="16" t="s">
        <v>937</v>
      </c>
    </row>
    <row r="33" spans="1:43" s="16" customFormat="1" x14ac:dyDescent="0.25">
      <c r="A33" s="20" t="s">
        <v>865</v>
      </c>
      <c r="B33" s="20"/>
      <c r="C33" s="85" t="s">
        <v>942</v>
      </c>
      <c r="D33" s="4" t="s">
        <v>621</v>
      </c>
      <c r="E33" s="238" t="s">
        <v>2301</v>
      </c>
      <c r="F33" s="20" t="s">
        <v>930</v>
      </c>
      <c r="G33" s="20" t="s">
        <v>2539</v>
      </c>
      <c r="H33" s="554">
        <v>7391846014584</v>
      </c>
      <c r="I33" s="20"/>
      <c r="J33" s="290"/>
      <c r="K33" s="39" t="s">
        <v>523</v>
      </c>
      <c r="L33" s="38" t="s">
        <v>327</v>
      </c>
      <c r="M33" s="682">
        <v>24.99</v>
      </c>
      <c r="N33" s="37">
        <v>1</v>
      </c>
      <c r="O33" s="281">
        <v>5</v>
      </c>
      <c r="P33" s="46">
        <f>CONVERT(0.135,"kg","lbm")</f>
        <v>0.29762405394958474</v>
      </c>
      <c r="Q33" s="549">
        <f t="shared" ref="Q33:Q38" si="8">CONVERT(224,"mm","in")</f>
        <v>8.8188976377952759</v>
      </c>
      <c r="R33" s="549">
        <f t="shared" si="7"/>
        <v>4.0944881889763778</v>
      </c>
      <c r="S33" s="550">
        <v>3.2</v>
      </c>
      <c r="T33" s="46">
        <v>0.4078551850420235</v>
      </c>
      <c r="U33" s="35">
        <v>5.5</v>
      </c>
      <c r="V33" s="35">
        <v>1.25</v>
      </c>
      <c r="W33" s="72">
        <v>11.8125</v>
      </c>
      <c r="X33" s="94" t="s">
        <v>66</v>
      </c>
      <c r="Y33" s="93" t="s">
        <v>66</v>
      </c>
      <c r="Z33" s="93" t="s">
        <v>66</v>
      </c>
      <c r="AA33" s="291" t="s">
        <v>66</v>
      </c>
      <c r="AB33" s="46">
        <v>2.2999999999999998</v>
      </c>
      <c r="AC33" s="35">
        <v>12</v>
      </c>
      <c r="AD33" s="35">
        <v>5.75</v>
      </c>
      <c r="AE33" s="72">
        <v>5.75</v>
      </c>
      <c r="AF33" s="44"/>
      <c r="AG33" s="86" t="s">
        <v>2471</v>
      </c>
      <c r="AH33" s="86" t="s">
        <v>2457</v>
      </c>
      <c r="AI33" s="86" t="s">
        <v>2472</v>
      </c>
      <c r="AJ33" s="39" t="s">
        <v>2473</v>
      </c>
      <c r="AK33" s="86" t="s">
        <v>2464</v>
      </c>
      <c r="AL33" s="86" t="s">
        <v>2474</v>
      </c>
      <c r="AM33" s="86"/>
      <c r="AN33" s="86"/>
      <c r="AO33" s="86" t="s">
        <v>2475</v>
      </c>
      <c r="AP33" s="20" t="s">
        <v>1839</v>
      </c>
      <c r="AQ33" s="16" t="s">
        <v>937</v>
      </c>
    </row>
    <row r="34" spans="1:43" s="16" customFormat="1" x14ac:dyDescent="0.25">
      <c r="A34" s="20" t="s">
        <v>865</v>
      </c>
      <c r="B34" s="20"/>
      <c r="C34" s="85" t="s">
        <v>1074</v>
      </c>
      <c r="D34" s="4" t="s">
        <v>621</v>
      </c>
      <c r="E34" s="238" t="s">
        <v>2301</v>
      </c>
      <c r="F34" s="20" t="s">
        <v>930</v>
      </c>
      <c r="G34" s="20" t="s">
        <v>1517</v>
      </c>
      <c r="H34" s="554">
        <v>7391846016199</v>
      </c>
      <c r="I34" s="20"/>
      <c r="J34" s="290"/>
      <c r="K34" s="39" t="s">
        <v>523</v>
      </c>
      <c r="L34" s="38" t="s">
        <v>327</v>
      </c>
      <c r="M34" s="682">
        <v>24.99</v>
      </c>
      <c r="N34" s="37">
        <v>1</v>
      </c>
      <c r="O34" s="281">
        <v>5</v>
      </c>
      <c r="P34" s="46">
        <f>CONVERT(0.135,"kg","lbm")</f>
        <v>0.29762405394958474</v>
      </c>
      <c r="Q34" s="549">
        <f t="shared" si="8"/>
        <v>8.8188976377952759</v>
      </c>
      <c r="R34" s="549">
        <f t="shared" si="7"/>
        <v>4.0944881889763778</v>
      </c>
      <c r="S34" s="550">
        <v>3.2</v>
      </c>
      <c r="T34" s="134"/>
      <c r="U34" s="135"/>
      <c r="V34" s="135"/>
      <c r="W34" s="136"/>
      <c r="X34" s="94" t="s">
        <v>66</v>
      </c>
      <c r="Y34" s="93" t="s">
        <v>66</v>
      </c>
      <c r="Z34" s="93" t="s">
        <v>66</v>
      </c>
      <c r="AA34" s="291" t="s">
        <v>66</v>
      </c>
      <c r="AB34" s="46">
        <v>8.6999999999999993</v>
      </c>
      <c r="AC34" s="35">
        <v>12</v>
      </c>
      <c r="AD34" s="35">
        <v>10.375</v>
      </c>
      <c r="AE34" s="72">
        <v>8.5</v>
      </c>
      <c r="AF34" s="44"/>
      <c r="AG34" s="86" t="s">
        <v>2471</v>
      </c>
      <c r="AH34" s="86" t="s">
        <v>2457</v>
      </c>
      <c r="AI34" s="86" t="s">
        <v>2472</v>
      </c>
      <c r="AJ34" s="39" t="s">
        <v>2473</v>
      </c>
      <c r="AK34" s="86" t="s">
        <v>2464</v>
      </c>
      <c r="AL34" s="86" t="s">
        <v>2474</v>
      </c>
      <c r="AM34" s="86"/>
      <c r="AN34" s="86"/>
      <c r="AO34" s="86" t="s">
        <v>2475</v>
      </c>
      <c r="AP34" s="20" t="s">
        <v>1839</v>
      </c>
      <c r="AQ34" s="16" t="s">
        <v>937</v>
      </c>
    </row>
    <row r="35" spans="1:43" s="16" customFormat="1" x14ac:dyDescent="0.25">
      <c r="A35" s="20" t="s">
        <v>865</v>
      </c>
      <c r="B35" s="20"/>
      <c r="C35" s="85" t="s">
        <v>943</v>
      </c>
      <c r="D35" s="4" t="s">
        <v>621</v>
      </c>
      <c r="E35" s="85" t="s">
        <v>2302</v>
      </c>
      <c r="F35" s="20" t="s">
        <v>51</v>
      </c>
      <c r="G35" s="20" t="s">
        <v>2539</v>
      </c>
      <c r="H35" s="118">
        <v>7391846014607</v>
      </c>
      <c r="I35" s="20"/>
      <c r="J35" s="290"/>
      <c r="K35" s="39" t="s">
        <v>523</v>
      </c>
      <c r="L35" s="38" t="s">
        <v>327</v>
      </c>
      <c r="M35" s="682">
        <v>24.99</v>
      </c>
      <c r="N35" s="37">
        <v>1</v>
      </c>
      <c r="O35" s="281">
        <v>5</v>
      </c>
      <c r="P35" s="46">
        <f>CONVERT(0.135,"kg","lbm")</f>
        <v>0.29762405394958474</v>
      </c>
      <c r="Q35" s="549">
        <f t="shared" si="8"/>
        <v>8.8188976377952759</v>
      </c>
      <c r="R35" s="549">
        <f t="shared" si="7"/>
        <v>4.0944881889763778</v>
      </c>
      <c r="S35" s="550">
        <v>3.2</v>
      </c>
      <c r="T35" s="46">
        <v>0.407855185042024</v>
      </c>
      <c r="U35" s="35">
        <v>5.5</v>
      </c>
      <c r="V35" s="35">
        <v>1.25</v>
      </c>
      <c r="W35" s="72">
        <v>11.8125</v>
      </c>
      <c r="X35" s="94" t="s">
        <v>66</v>
      </c>
      <c r="Y35" s="93" t="s">
        <v>66</v>
      </c>
      <c r="Z35" s="93" t="s">
        <v>66</v>
      </c>
      <c r="AA35" s="291" t="s">
        <v>66</v>
      </c>
      <c r="AB35" s="46">
        <v>2.25</v>
      </c>
      <c r="AC35" s="35">
        <v>12</v>
      </c>
      <c r="AD35" s="35">
        <v>5.75</v>
      </c>
      <c r="AE35" s="72">
        <v>5.75</v>
      </c>
      <c r="AF35" s="44">
        <f>AC35*AD35*AE35/(12^3)</f>
        <v>0.22960069444444445</v>
      </c>
      <c r="AG35" s="86" t="s">
        <v>2471</v>
      </c>
      <c r="AH35" s="86" t="s">
        <v>2457</v>
      </c>
      <c r="AI35" s="86" t="s">
        <v>2472</v>
      </c>
      <c r="AJ35" s="39" t="s">
        <v>2473</v>
      </c>
      <c r="AK35" s="86" t="s">
        <v>2465</v>
      </c>
      <c r="AL35" s="86" t="s">
        <v>2474</v>
      </c>
      <c r="AM35" s="86"/>
      <c r="AN35" s="86"/>
      <c r="AO35" s="86" t="s">
        <v>2475</v>
      </c>
      <c r="AP35" s="20" t="s">
        <v>1839</v>
      </c>
      <c r="AQ35" s="16" t="s">
        <v>937</v>
      </c>
    </row>
    <row r="36" spans="1:43" s="16" customFormat="1" x14ac:dyDescent="0.25">
      <c r="A36" s="20" t="s">
        <v>865</v>
      </c>
      <c r="B36" s="20"/>
      <c r="C36" s="85" t="s">
        <v>1075</v>
      </c>
      <c r="D36" s="4" t="s">
        <v>621</v>
      </c>
      <c r="E36" s="85" t="s">
        <v>2302</v>
      </c>
      <c r="F36" s="20" t="s">
        <v>51</v>
      </c>
      <c r="G36" s="20" t="s">
        <v>1517</v>
      </c>
      <c r="H36" s="118">
        <v>7391846016038</v>
      </c>
      <c r="I36" s="20"/>
      <c r="J36" s="290"/>
      <c r="K36" s="39" t="s">
        <v>523</v>
      </c>
      <c r="L36" s="38" t="s">
        <v>327</v>
      </c>
      <c r="M36" s="682">
        <v>24.99</v>
      </c>
      <c r="N36" s="37">
        <v>1</v>
      </c>
      <c r="O36" s="281">
        <v>5</v>
      </c>
      <c r="P36" s="46">
        <f>CONVERT(0.135,"kg","lbm")</f>
        <v>0.29762405394958474</v>
      </c>
      <c r="Q36" s="549">
        <f t="shared" si="8"/>
        <v>8.8188976377952759</v>
      </c>
      <c r="R36" s="549">
        <f t="shared" si="7"/>
        <v>4.0944881889763778</v>
      </c>
      <c r="S36" s="550">
        <v>3.2</v>
      </c>
      <c r="T36" s="134"/>
      <c r="U36" s="135"/>
      <c r="V36" s="135"/>
      <c r="W36" s="136"/>
      <c r="X36" s="94" t="s">
        <v>66</v>
      </c>
      <c r="Y36" s="93" t="s">
        <v>66</v>
      </c>
      <c r="Z36" s="93" t="s">
        <v>66</v>
      </c>
      <c r="AA36" s="291" t="s">
        <v>66</v>
      </c>
      <c r="AB36" s="46">
        <v>8.6</v>
      </c>
      <c r="AC36" s="35">
        <v>12</v>
      </c>
      <c r="AD36" s="35">
        <v>10.375</v>
      </c>
      <c r="AE36" s="72">
        <v>8.5</v>
      </c>
      <c r="AF36" s="44"/>
      <c r="AG36" s="86" t="s">
        <v>2471</v>
      </c>
      <c r="AH36" s="86" t="s">
        <v>2457</v>
      </c>
      <c r="AI36" s="86" t="s">
        <v>2472</v>
      </c>
      <c r="AJ36" s="39" t="s">
        <v>2473</v>
      </c>
      <c r="AK36" s="86" t="s">
        <v>2465</v>
      </c>
      <c r="AL36" s="86" t="s">
        <v>2474</v>
      </c>
      <c r="AM36" s="86"/>
      <c r="AN36" s="86"/>
      <c r="AO36" s="86" t="s">
        <v>2475</v>
      </c>
      <c r="AP36" s="20" t="s">
        <v>1839</v>
      </c>
      <c r="AQ36" s="16" t="s">
        <v>937</v>
      </c>
    </row>
    <row r="37" spans="1:43" s="16" customFormat="1" x14ac:dyDescent="0.25">
      <c r="A37" s="20" t="s">
        <v>865</v>
      </c>
      <c r="B37" s="20"/>
      <c r="C37" s="85" t="s">
        <v>1432</v>
      </c>
      <c r="D37" s="4" t="s">
        <v>649</v>
      </c>
      <c r="E37" s="85" t="s">
        <v>2476</v>
      </c>
      <c r="F37" s="20" t="s">
        <v>111</v>
      </c>
      <c r="G37" s="20" t="s">
        <v>2539</v>
      </c>
      <c r="H37" s="554">
        <v>7391846014850</v>
      </c>
      <c r="I37" s="20"/>
      <c r="J37" s="554">
        <v>7391846014867</v>
      </c>
      <c r="K37" s="39" t="s">
        <v>523</v>
      </c>
      <c r="L37" s="38" t="s">
        <v>327</v>
      </c>
      <c r="M37" s="682">
        <v>34.99</v>
      </c>
      <c r="N37" s="37">
        <v>1</v>
      </c>
      <c r="O37" s="281">
        <v>5</v>
      </c>
      <c r="P37" s="46">
        <f>CONVERT(0.1175,"kg","lbm")</f>
        <v>0.25904315806723116</v>
      </c>
      <c r="Q37" s="549">
        <f t="shared" si="8"/>
        <v>8.8188976377952759</v>
      </c>
      <c r="R37" s="549">
        <f t="shared" si="7"/>
        <v>4.0944881889763778</v>
      </c>
      <c r="S37" s="550">
        <v>2.5</v>
      </c>
      <c r="T37" s="46">
        <f>CONVERT(117.5,"g","lbm")</f>
        <v>0.25904315806723116</v>
      </c>
      <c r="U37" s="135"/>
      <c r="V37" s="135"/>
      <c r="W37" s="136"/>
      <c r="X37" s="94" t="s">
        <v>66</v>
      </c>
      <c r="Y37" s="93" t="s">
        <v>66</v>
      </c>
      <c r="Z37" s="93" t="s">
        <v>66</v>
      </c>
      <c r="AA37" s="291" t="s">
        <v>66</v>
      </c>
      <c r="AB37" s="46">
        <v>2.1</v>
      </c>
      <c r="AC37" s="35">
        <v>12</v>
      </c>
      <c r="AD37" s="35">
        <v>5.75</v>
      </c>
      <c r="AE37" s="72">
        <v>5.75</v>
      </c>
      <c r="AF37" s="44"/>
      <c r="AG37" s="86" t="s">
        <v>2456</v>
      </c>
      <c r="AH37" s="86" t="s">
        <v>2477</v>
      </c>
      <c r="AI37" s="86" t="s">
        <v>2457</v>
      </c>
      <c r="AJ37" s="86" t="s">
        <v>2458</v>
      </c>
      <c r="AK37" s="39" t="s">
        <v>2466</v>
      </c>
      <c r="AL37" s="86" t="s">
        <v>2460</v>
      </c>
      <c r="AM37" s="86"/>
      <c r="AN37" s="86"/>
      <c r="AO37" s="86" t="s">
        <v>2479</v>
      </c>
      <c r="AP37" s="20" t="s">
        <v>1839</v>
      </c>
      <c r="AQ37" s="16" t="s">
        <v>937</v>
      </c>
    </row>
    <row r="38" spans="1:43" s="16" customFormat="1" x14ac:dyDescent="0.25">
      <c r="A38" s="20" t="s">
        <v>865</v>
      </c>
      <c r="B38" s="20"/>
      <c r="C38" s="85" t="s">
        <v>1433</v>
      </c>
      <c r="D38" s="4" t="s">
        <v>649</v>
      </c>
      <c r="E38" s="85" t="s">
        <v>2303</v>
      </c>
      <c r="F38" s="20" t="s">
        <v>111</v>
      </c>
      <c r="G38" s="20" t="s">
        <v>1517</v>
      </c>
      <c r="H38" s="554">
        <v>7391846015338</v>
      </c>
      <c r="I38" s="20"/>
      <c r="J38" s="554">
        <v>7391846015345</v>
      </c>
      <c r="K38" s="39" t="s">
        <v>523</v>
      </c>
      <c r="L38" s="38" t="s">
        <v>327</v>
      </c>
      <c r="M38" s="682">
        <v>49.99</v>
      </c>
      <c r="N38" s="37">
        <v>1</v>
      </c>
      <c r="O38" s="281">
        <v>15</v>
      </c>
      <c r="P38" s="46">
        <f>CONVERT(0.157,"kg","lbm")</f>
        <v>0.34612575163025777</v>
      </c>
      <c r="Q38" s="549">
        <f t="shared" si="8"/>
        <v>8.8188976377952759</v>
      </c>
      <c r="R38" s="549">
        <f t="shared" si="7"/>
        <v>4.0944881889763778</v>
      </c>
      <c r="S38" s="550">
        <v>2.5</v>
      </c>
      <c r="T38" s="46">
        <f>CONVERT(157,"g","lbm")</f>
        <v>0.34612575163025777</v>
      </c>
      <c r="U38" s="135"/>
      <c r="V38" s="135"/>
      <c r="W38" s="136"/>
      <c r="X38" s="94" t="s">
        <v>66</v>
      </c>
      <c r="Y38" s="93" t="s">
        <v>66</v>
      </c>
      <c r="Z38" s="93" t="s">
        <v>66</v>
      </c>
      <c r="AA38" s="291" t="s">
        <v>66</v>
      </c>
      <c r="AB38" s="46">
        <v>9.6</v>
      </c>
      <c r="AC38" s="35">
        <v>12</v>
      </c>
      <c r="AD38" s="35">
        <v>10.5</v>
      </c>
      <c r="AE38" s="72">
        <v>8.5</v>
      </c>
      <c r="AF38" s="44"/>
      <c r="AG38" s="86" t="s">
        <v>2456</v>
      </c>
      <c r="AH38" s="86" t="s">
        <v>2477</v>
      </c>
      <c r="AI38" s="86" t="s">
        <v>2457</v>
      </c>
      <c r="AJ38" s="86" t="s">
        <v>2458</v>
      </c>
      <c r="AK38" s="39" t="s">
        <v>2421</v>
      </c>
      <c r="AL38" s="86" t="s">
        <v>2478</v>
      </c>
      <c r="AM38" s="86"/>
      <c r="AN38" s="86"/>
      <c r="AO38" s="86" t="s">
        <v>2480</v>
      </c>
      <c r="AP38" s="20" t="s">
        <v>1839</v>
      </c>
      <c r="AQ38" s="16" t="s">
        <v>937</v>
      </c>
    </row>
    <row r="39" spans="1:43" s="16" customFormat="1" x14ac:dyDescent="0.25">
      <c r="A39" s="20" t="s">
        <v>865</v>
      </c>
      <c r="B39" s="20"/>
      <c r="C39" s="4" t="s">
        <v>470</v>
      </c>
      <c r="D39" s="4" t="s">
        <v>649</v>
      </c>
      <c r="E39" s="4" t="s">
        <v>2304</v>
      </c>
      <c r="F39" s="20" t="s">
        <v>51</v>
      </c>
      <c r="G39" s="20" t="s">
        <v>2265</v>
      </c>
      <c r="H39" s="5" t="s">
        <v>513</v>
      </c>
      <c r="I39" s="20"/>
      <c r="J39" s="290"/>
      <c r="K39" s="39" t="s">
        <v>523</v>
      </c>
      <c r="L39" s="38" t="s">
        <v>327</v>
      </c>
      <c r="M39" s="682">
        <v>24.99</v>
      </c>
      <c r="N39" s="37">
        <v>1</v>
      </c>
      <c r="O39" s="281">
        <v>15</v>
      </c>
      <c r="P39" s="46">
        <f>CONVERT(0.116,"kg","lbm")</f>
        <v>0.25573622413445801</v>
      </c>
      <c r="Q39" s="549">
        <f>CONVERT(218,"mm","in")</f>
        <v>8.5826771653543314</v>
      </c>
      <c r="R39" s="549">
        <f t="shared" si="7"/>
        <v>4.0944881889763778</v>
      </c>
      <c r="S39" s="550">
        <v>2.5</v>
      </c>
      <c r="T39" s="46">
        <v>0.25573622413445796</v>
      </c>
      <c r="U39" s="35">
        <v>9.125</v>
      </c>
      <c r="V39" s="35">
        <v>1.75</v>
      </c>
      <c r="W39" s="72">
        <v>1.375</v>
      </c>
      <c r="X39" s="94" t="s">
        <v>66</v>
      </c>
      <c r="Y39" s="93" t="s">
        <v>66</v>
      </c>
      <c r="Z39" s="93" t="s">
        <v>66</v>
      </c>
      <c r="AA39" s="291" t="s">
        <v>66</v>
      </c>
      <c r="AB39" s="46">
        <v>4.4000000000000004</v>
      </c>
      <c r="AC39" s="35">
        <v>9.75</v>
      </c>
      <c r="AD39" s="35">
        <v>5</v>
      </c>
      <c r="AE39" s="72">
        <v>10.25</v>
      </c>
      <c r="AF39" s="44">
        <f>AC39*AD39*AE39/(12^3)</f>
        <v>0.28917100694444442</v>
      </c>
      <c r="AG39" s="86" t="s">
        <v>2456</v>
      </c>
      <c r="AH39" s="86" t="s">
        <v>2481</v>
      </c>
      <c r="AI39" s="86" t="s">
        <v>2458</v>
      </c>
      <c r="AJ39" s="39" t="s">
        <v>2465</v>
      </c>
      <c r="AK39" s="86" t="s">
        <v>2482</v>
      </c>
      <c r="AL39" s="86"/>
      <c r="AM39" s="86"/>
      <c r="AN39" s="86"/>
      <c r="AO39" s="86" t="s">
        <v>2483</v>
      </c>
      <c r="AP39" s="20" t="s">
        <v>1839</v>
      </c>
      <c r="AQ39" s="16" t="s">
        <v>937</v>
      </c>
    </row>
    <row r="40" spans="1:43" s="16" customFormat="1" ht="12.75" customHeight="1" x14ac:dyDescent="0.25">
      <c r="A40" s="20" t="s">
        <v>865</v>
      </c>
      <c r="B40" s="20"/>
      <c r="C40" s="85" t="s">
        <v>945</v>
      </c>
      <c r="D40" s="4" t="s">
        <v>649</v>
      </c>
      <c r="E40" s="4" t="s">
        <v>2304</v>
      </c>
      <c r="F40" s="20" t="s">
        <v>51</v>
      </c>
      <c r="G40" s="20" t="s">
        <v>2539</v>
      </c>
      <c r="H40" s="554">
        <v>7391846014669</v>
      </c>
      <c r="I40" s="20"/>
      <c r="J40" s="290"/>
      <c r="K40" s="39" t="s">
        <v>523</v>
      </c>
      <c r="L40" s="38" t="s">
        <v>327</v>
      </c>
      <c r="M40" s="682">
        <v>24.99</v>
      </c>
      <c r="N40" s="37">
        <v>1</v>
      </c>
      <c r="O40" s="281">
        <v>5</v>
      </c>
      <c r="P40" s="46">
        <f>CONVERT(0.116,"kg","lbm")</f>
        <v>0.25573622413445801</v>
      </c>
      <c r="Q40" s="549">
        <f>CONVERT(218,"mm","in")</f>
        <v>8.5826771653543314</v>
      </c>
      <c r="R40" s="549">
        <f t="shared" si="7"/>
        <v>4.0944881889763778</v>
      </c>
      <c r="S40" s="550">
        <v>2.5</v>
      </c>
      <c r="T40" s="46">
        <v>0.37478584571429185</v>
      </c>
      <c r="U40" s="35">
        <v>5.5</v>
      </c>
      <c r="V40" s="35">
        <v>1.25</v>
      </c>
      <c r="W40" s="72">
        <v>11.8125</v>
      </c>
      <c r="X40" s="94" t="s">
        <v>66</v>
      </c>
      <c r="Y40" s="93" t="s">
        <v>66</v>
      </c>
      <c r="Z40" s="93" t="s">
        <v>66</v>
      </c>
      <c r="AA40" s="291" t="s">
        <v>66</v>
      </c>
      <c r="AB40" s="46">
        <v>2.0499999999999998</v>
      </c>
      <c r="AC40" s="35">
        <v>12</v>
      </c>
      <c r="AD40" s="35">
        <v>5.75</v>
      </c>
      <c r="AE40" s="72">
        <v>5.75</v>
      </c>
      <c r="AF40" s="44">
        <f>AC40*AD40*AE40/(12^3)</f>
        <v>0.22960069444444445</v>
      </c>
      <c r="AG40" s="86" t="s">
        <v>2456</v>
      </c>
      <c r="AH40" s="86" t="s">
        <v>2481</v>
      </c>
      <c r="AI40" s="86" t="s">
        <v>2458</v>
      </c>
      <c r="AJ40" s="39" t="s">
        <v>3218</v>
      </c>
      <c r="AK40" s="86" t="s">
        <v>2482</v>
      </c>
      <c r="AL40" s="86"/>
      <c r="AM40" s="86"/>
      <c r="AN40" s="86"/>
      <c r="AO40" s="86" t="s">
        <v>2483</v>
      </c>
      <c r="AP40" s="20" t="s">
        <v>1839</v>
      </c>
      <c r="AQ40" s="16" t="s">
        <v>937</v>
      </c>
    </row>
    <row r="41" spans="1:43" s="16" customFormat="1" x14ac:dyDescent="0.25">
      <c r="A41" s="20" t="s">
        <v>865</v>
      </c>
      <c r="B41" s="20"/>
      <c r="C41" s="4" t="s">
        <v>471</v>
      </c>
      <c r="D41" s="4" t="s">
        <v>649</v>
      </c>
      <c r="E41" s="4" t="s">
        <v>2305</v>
      </c>
      <c r="F41" s="20" t="s">
        <v>54</v>
      </c>
      <c r="G41" s="20" t="s">
        <v>2265</v>
      </c>
      <c r="H41" s="5" t="s">
        <v>514</v>
      </c>
      <c r="I41" s="20"/>
      <c r="J41" s="290"/>
      <c r="K41" s="39" t="s">
        <v>523</v>
      </c>
      <c r="L41" s="38" t="s">
        <v>327</v>
      </c>
      <c r="M41" s="682">
        <v>29.99</v>
      </c>
      <c r="N41" s="37">
        <v>1</v>
      </c>
      <c r="O41" s="281">
        <v>15</v>
      </c>
      <c r="P41" s="46">
        <f>CONVERT(0.116,"kg","lbm")</f>
        <v>0.25573622413445801</v>
      </c>
      <c r="Q41" s="549">
        <f>CONVERT(214,"mm","in")</f>
        <v>8.4251968503937</v>
      </c>
      <c r="R41" s="549">
        <f>CONVERT(99,"mm","in")</f>
        <v>3.8976377952755907</v>
      </c>
      <c r="S41" s="550">
        <v>2.5</v>
      </c>
      <c r="T41" s="46">
        <v>0.25573622413445796</v>
      </c>
      <c r="U41" s="35">
        <v>9.1</v>
      </c>
      <c r="V41" s="35">
        <v>1.9</v>
      </c>
      <c r="W41" s="72">
        <v>1.4</v>
      </c>
      <c r="X41" s="94" t="s">
        <v>66</v>
      </c>
      <c r="Y41" s="93" t="s">
        <v>66</v>
      </c>
      <c r="Z41" s="93" t="s">
        <v>66</v>
      </c>
      <c r="AA41" s="291" t="s">
        <v>66</v>
      </c>
      <c r="AB41" s="46">
        <v>4.4000000000000004</v>
      </c>
      <c r="AC41" s="35">
        <v>9.75</v>
      </c>
      <c r="AD41" s="35">
        <v>5</v>
      </c>
      <c r="AE41" s="72">
        <v>10.25</v>
      </c>
      <c r="AF41" s="44">
        <f>AC41*AD41*AE41/(12^3)</f>
        <v>0.28917100694444442</v>
      </c>
      <c r="AG41" s="86" t="s">
        <v>2484</v>
      </c>
      <c r="AH41" s="86" t="s">
        <v>2481</v>
      </c>
      <c r="AI41" s="86" t="s">
        <v>2458</v>
      </c>
      <c r="AJ41" s="39" t="s">
        <v>2465</v>
      </c>
      <c r="AK41" s="86" t="s">
        <v>2485</v>
      </c>
      <c r="AL41" s="86"/>
      <c r="AM41" s="86"/>
      <c r="AN41" s="86"/>
      <c r="AO41" s="86" t="s">
        <v>2486</v>
      </c>
      <c r="AP41" s="20" t="s">
        <v>1839</v>
      </c>
      <c r="AQ41" s="16" t="s">
        <v>937</v>
      </c>
    </row>
    <row r="42" spans="1:43" s="16" customFormat="1" x14ac:dyDescent="0.25">
      <c r="A42" s="20" t="s">
        <v>865</v>
      </c>
      <c r="B42" s="20"/>
      <c r="C42" s="85" t="s">
        <v>944</v>
      </c>
      <c r="D42" s="4" t="s">
        <v>649</v>
      </c>
      <c r="E42" s="85" t="s">
        <v>2305</v>
      </c>
      <c r="F42" s="20" t="s">
        <v>51</v>
      </c>
      <c r="G42" s="20" t="s">
        <v>2539</v>
      </c>
      <c r="H42" s="554">
        <v>7391846014645</v>
      </c>
      <c r="I42" s="20"/>
      <c r="J42" s="290"/>
      <c r="K42" s="39" t="s">
        <v>523</v>
      </c>
      <c r="L42" s="38" t="s">
        <v>327</v>
      </c>
      <c r="M42" s="682">
        <v>29.99</v>
      </c>
      <c r="N42" s="37">
        <v>1</v>
      </c>
      <c r="O42" s="281">
        <v>5</v>
      </c>
      <c r="P42" s="46">
        <f>CONVERT(0.116,"kg","lbm")</f>
        <v>0.25573622413445801</v>
      </c>
      <c r="Q42" s="549">
        <f>CONVERT(214,"mm","in")</f>
        <v>8.4251968503937</v>
      </c>
      <c r="R42" s="549">
        <f>CONVERT(99,"mm","in")</f>
        <v>3.8976377952755907</v>
      </c>
      <c r="S42" s="550">
        <v>2.5</v>
      </c>
      <c r="T42" s="46">
        <v>0.36376273260504799</v>
      </c>
      <c r="U42" s="35">
        <v>5.5</v>
      </c>
      <c r="V42" s="35">
        <v>1.25</v>
      </c>
      <c r="W42" s="72">
        <v>11.8125</v>
      </c>
      <c r="X42" s="94" t="s">
        <v>66</v>
      </c>
      <c r="Y42" s="93" t="s">
        <v>66</v>
      </c>
      <c r="Z42" s="93" t="s">
        <v>66</v>
      </c>
      <c r="AA42" s="291" t="s">
        <v>66</v>
      </c>
      <c r="AB42" s="46">
        <v>2.0499999999999998</v>
      </c>
      <c r="AC42" s="35">
        <v>12</v>
      </c>
      <c r="AD42" s="35">
        <v>5.75</v>
      </c>
      <c r="AE42" s="72">
        <v>5.75</v>
      </c>
      <c r="AF42" s="44">
        <f>AC42*AD42*AE42/(12^3)</f>
        <v>0.22960069444444445</v>
      </c>
      <c r="AG42" s="86" t="s">
        <v>2484</v>
      </c>
      <c r="AH42" s="86" t="s">
        <v>2481</v>
      </c>
      <c r="AI42" s="86" t="s">
        <v>2458</v>
      </c>
      <c r="AJ42" s="39" t="s">
        <v>2465</v>
      </c>
      <c r="AK42" s="86" t="s">
        <v>2485</v>
      </c>
      <c r="AL42" s="86"/>
      <c r="AM42" s="86"/>
      <c r="AN42" s="86"/>
      <c r="AO42" s="86" t="s">
        <v>2486</v>
      </c>
      <c r="AP42" s="20" t="s">
        <v>1839</v>
      </c>
      <c r="AQ42" s="16" t="s">
        <v>937</v>
      </c>
    </row>
    <row r="43" spans="1:43" s="20" customFormat="1" ht="15.6" x14ac:dyDescent="0.3">
      <c r="A43" s="108" t="s">
        <v>174</v>
      </c>
      <c r="B43" s="108"/>
      <c r="C43" s="35"/>
      <c r="D43" s="35"/>
      <c r="E43" s="36"/>
      <c r="H43" s="265"/>
      <c r="K43" s="38"/>
      <c r="L43" s="38"/>
      <c r="M43" s="678"/>
      <c r="N43" s="37"/>
      <c r="O43" s="228"/>
      <c r="P43" s="46"/>
      <c r="Q43" s="35"/>
      <c r="R43" s="35"/>
      <c r="S43" s="72"/>
      <c r="T43" s="46"/>
      <c r="U43" s="35"/>
      <c r="V43" s="35"/>
      <c r="W43" s="72"/>
      <c r="X43" s="46"/>
      <c r="Y43" s="35"/>
      <c r="Z43" s="35"/>
      <c r="AA43" s="72"/>
      <c r="AB43" s="46"/>
      <c r="AC43" s="35"/>
      <c r="AD43" s="35"/>
      <c r="AE43" s="72"/>
      <c r="AF43" s="46"/>
    </row>
    <row r="44" spans="1:43" s="20" customFormat="1" x14ac:dyDescent="0.25">
      <c r="A44" s="20" t="s">
        <v>865</v>
      </c>
      <c r="B44" s="754"/>
      <c r="C44" s="35" t="s">
        <v>3085</v>
      </c>
      <c r="D44" s="35" t="s">
        <v>649</v>
      </c>
      <c r="E44" s="36" t="s">
        <v>3089</v>
      </c>
      <c r="F44" s="20" t="s">
        <v>930</v>
      </c>
      <c r="G44" s="20" t="s">
        <v>1517</v>
      </c>
      <c r="H44" s="404" t="s">
        <v>3091</v>
      </c>
      <c r="K44" s="39" t="s">
        <v>523</v>
      </c>
      <c r="L44" s="38" t="s">
        <v>327</v>
      </c>
      <c r="M44" s="678">
        <v>39.99</v>
      </c>
      <c r="N44" s="37">
        <v>1</v>
      </c>
      <c r="O44" s="228">
        <v>5</v>
      </c>
      <c r="P44" s="46">
        <v>0.28999999999999998</v>
      </c>
      <c r="Q44" s="35">
        <v>8.9</v>
      </c>
      <c r="R44" s="35">
        <v>4.3</v>
      </c>
      <c r="S44" s="72">
        <v>2.5</v>
      </c>
      <c r="T44" s="46">
        <v>0.4</v>
      </c>
      <c r="U44" s="35">
        <v>10.9</v>
      </c>
      <c r="V44" s="35">
        <v>2.4</v>
      </c>
      <c r="W44" s="72">
        <v>1.8</v>
      </c>
      <c r="X44" s="46">
        <v>2.15</v>
      </c>
      <c r="Y44" s="35">
        <v>12.2</v>
      </c>
      <c r="Z44" s="35">
        <v>11</v>
      </c>
      <c r="AA44" s="72">
        <v>2</v>
      </c>
      <c r="AB44" s="46">
        <v>18</v>
      </c>
      <c r="AC44" s="35">
        <v>17.5</v>
      </c>
      <c r="AD44" s="35">
        <v>12.5</v>
      </c>
      <c r="AE44" s="72">
        <v>12</v>
      </c>
      <c r="AF44" s="44">
        <f>AC44*AD44*AE44/(12^3)</f>
        <v>1.5190972222222223</v>
      </c>
      <c r="AG44" s="20" t="s">
        <v>3098</v>
      </c>
      <c r="AH44" s="20" t="s">
        <v>3079</v>
      </c>
      <c r="AI44" s="20" t="s">
        <v>3080</v>
      </c>
      <c r="AJ44" s="20" t="s">
        <v>3100</v>
      </c>
      <c r="AK44" s="20" t="s">
        <v>3082</v>
      </c>
      <c r="AO44" s="20" t="s">
        <v>3146</v>
      </c>
      <c r="AP44" s="20" t="s">
        <v>1839</v>
      </c>
      <c r="AQ44" s="16" t="s">
        <v>937</v>
      </c>
    </row>
    <row r="45" spans="1:43" s="20" customFormat="1" x14ac:dyDescent="0.25">
      <c r="A45" s="20" t="s">
        <v>865</v>
      </c>
      <c r="B45" s="754"/>
      <c r="C45" s="35" t="s">
        <v>3086</v>
      </c>
      <c r="D45" s="35" t="s">
        <v>649</v>
      </c>
      <c r="E45" s="36" t="s">
        <v>3090</v>
      </c>
      <c r="F45" s="20" t="s">
        <v>930</v>
      </c>
      <c r="G45" s="20" t="s">
        <v>1517</v>
      </c>
      <c r="H45" s="404" t="s">
        <v>3092</v>
      </c>
      <c r="K45" s="39" t="s">
        <v>523</v>
      </c>
      <c r="L45" s="38" t="s">
        <v>327</v>
      </c>
      <c r="M45" s="678">
        <v>59.99</v>
      </c>
      <c r="N45" s="37">
        <v>1</v>
      </c>
      <c r="O45" s="228">
        <v>5</v>
      </c>
      <c r="P45" s="46">
        <v>0.39</v>
      </c>
      <c r="Q45" s="35">
        <v>8.9</v>
      </c>
      <c r="R45" s="35">
        <v>4.3</v>
      </c>
      <c r="S45" s="72">
        <v>2.5</v>
      </c>
      <c r="T45" s="46">
        <v>0.5</v>
      </c>
      <c r="U45" s="35">
        <v>10.9</v>
      </c>
      <c r="V45" s="35">
        <v>2.4</v>
      </c>
      <c r="W45" s="72">
        <v>1.8</v>
      </c>
      <c r="X45" s="46">
        <v>2.6</v>
      </c>
      <c r="Y45" s="35">
        <v>12.2</v>
      </c>
      <c r="Z45" s="35">
        <v>11</v>
      </c>
      <c r="AA45" s="72">
        <v>2</v>
      </c>
      <c r="AB45" s="46">
        <v>21.4</v>
      </c>
      <c r="AC45" s="35">
        <v>17.5</v>
      </c>
      <c r="AD45" s="35">
        <v>12.5</v>
      </c>
      <c r="AE45" s="72">
        <v>12</v>
      </c>
      <c r="AF45" s="44">
        <f t="shared" ref="AF45:AF63" si="9">AC45*AD45*AE45/(12^3)</f>
        <v>1.5190972222222223</v>
      </c>
      <c r="AG45" s="20" t="s">
        <v>3098</v>
      </c>
      <c r="AH45" s="20" t="s">
        <v>3079</v>
      </c>
      <c r="AI45" s="20" t="s">
        <v>3080</v>
      </c>
      <c r="AJ45" s="20" t="s">
        <v>3100</v>
      </c>
      <c r="AK45" s="20" t="s">
        <v>3099</v>
      </c>
      <c r="AL45" s="20" t="s">
        <v>3082</v>
      </c>
      <c r="AO45" s="20" t="s">
        <v>3146</v>
      </c>
      <c r="AP45" s="20" t="s">
        <v>1839</v>
      </c>
      <c r="AQ45" s="16" t="s">
        <v>937</v>
      </c>
    </row>
    <row r="46" spans="1:43" s="20" customFormat="1" x14ac:dyDescent="0.25">
      <c r="A46" s="20" t="s">
        <v>865</v>
      </c>
      <c r="B46" s="754"/>
      <c r="C46" s="35" t="s">
        <v>3130</v>
      </c>
      <c r="D46" s="35" t="s">
        <v>649</v>
      </c>
      <c r="E46" s="36" t="s">
        <v>3131</v>
      </c>
      <c r="F46" s="20" t="s">
        <v>930</v>
      </c>
      <c r="G46" s="20" t="s">
        <v>1517</v>
      </c>
      <c r="H46" s="404" t="s">
        <v>3144</v>
      </c>
      <c r="K46" s="39" t="s">
        <v>523</v>
      </c>
      <c r="L46" s="38" t="s">
        <v>327</v>
      </c>
      <c r="M46" s="678"/>
      <c r="N46" s="37">
        <v>1</v>
      </c>
      <c r="O46" s="228">
        <v>5</v>
      </c>
      <c r="P46" s="46">
        <v>0.28999999999999998</v>
      </c>
      <c r="Q46" s="35">
        <v>8.9</v>
      </c>
      <c r="R46" s="35">
        <v>4.3</v>
      </c>
      <c r="S46" s="72">
        <v>2.5</v>
      </c>
      <c r="T46" s="46">
        <v>0.47</v>
      </c>
      <c r="U46" s="35">
        <v>10.95</v>
      </c>
      <c r="V46" s="35">
        <v>5.5</v>
      </c>
      <c r="W46" s="72">
        <v>1.4</v>
      </c>
      <c r="X46" s="134"/>
      <c r="Y46" s="135"/>
      <c r="Z46" s="135"/>
      <c r="AA46" s="136"/>
      <c r="AB46" s="134"/>
      <c r="AC46" s="135"/>
      <c r="AD46" s="135"/>
      <c r="AE46" s="136"/>
      <c r="AF46" s="134"/>
      <c r="AG46" s="20" t="s">
        <v>3098</v>
      </c>
      <c r="AH46" s="20" t="s">
        <v>3079</v>
      </c>
      <c r="AI46" s="20" t="s">
        <v>3080</v>
      </c>
      <c r="AJ46" s="20" t="s">
        <v>3100</v>
      </c>
      <c r="AK46" s="20" t="s">
        <v>3082</v>
      </c>
      <c r="AO46" s="20" t="s">
        <v>3146</v>
      </c>
      <c r="AP46" s="20" t="s">
        <v>1839</v>
      </c>
      <c r="AQ46" s="16" t="s">
        <v>937</v>
      </c>
    </row>
    <row r="47" spans="1:43" s="20" customFormat="1" x14ac:dyDescent="0.25">
      <c r="A47" s="20" t="s">
        <v>865</v>
      </c>
      <c r="B47" s="754"/>
      <c r="C47" s="298" t="s">
        <v>2914</v>
      </c>
      <c r="D47" s="35" t="s">
        <v>649</v>
      </c>
      <c r="E47" s="701" t="s">
        <v>2906</v>
      </c>
      <c r="F47" s="20" t="s">
        <v>111</v>
      </c>
      <c r="G47" s="20" t="s">
        <v>1517</v>
      </c>
      <c r="H47" s="404" t="s">
        <v>2876</v>
      </c>
      <c r="K47" s="39" t="s">
        <v>523</v>
      </c>
      <c r="L47" s="38" t="s">
        <v>327</v>
      </c>
      <c r="M47" s="678">
        <v>29.99</v>
      </c>
      <c r="N47" s="37">
        <v>1</v>
      </c>
      <c r="O47" s="228">
        <v>5</v>
      </c>
      <c r="P47" s="46">
        <v>0.17199999999999999</v>
      </c>
      <c r="Q47" s="20">
        <v>5.6</v>
      </c>
      <c r="R47" s="35">
        <v>2.2000000000000002</v>
      </c>
      <c r="S47" s="72">
        <v>2</v>
      </c>
      <c r="T47" s="46">
        <v>0.28999999999999998</v>
      </c>
      <c r="U47" s="35">
        <v>7.48</v>
      </c>
      <c r="V47" s="35">
        <v>2.36</v>
      </c>
      <c r="W47" s="72">
        <v>1.77</v>
      </c>
      <c r="X47" s="46">
        <v>1.4</v>
      </c>
      <c r="Y47" s="35">
        <v>12.2</v>
      </c>
      <c r="Z47" s="35">
        <v>11</v>
      </c>
      <c r="AA47" s="72">
        <v>2</v>
      </c>
      <c r="AB47" s="46">
        <v>12</v>
      </c>
      <c r="AC47" s="35">
        <v>17.5</v>
      </c>
      <c r="AD47" s="35">
        <v>12.5</v>
      </c>
      <c r="AE47" s="72">
        <v>12</v>
      </c>
      <c r="AF47" s="44">
        <f t="shared" si="9"/>
        <v>1.5190972222222223</v>
      </c>
      <c r="AG47" s="750" t="s">
        <v>3093</v>
      </c>
      <c r="AH47" s="750" t="s">
        <v>3079</v>
      </c>
      <c r="AI47" s="750" t="s">
        <v>3080</v>
      </c>
      <c r="AJ47" s="750" t="s">
        <v>3081</v>
      </c>
      <c r="AK47" s="750" t="s">
        <v>3084</v>
      </c>
      <c r="AO47" s="724" t="s">
        <v>3094</v>
      </c>
      <c r="AP47" s="20" t="s">
        <v>1839</v>
      </c>
      <c r="AQ47" s="16" t="s">
        <v>937</v>
      </c>
    </row>
    <row r="48" spans="1:43" s="20" customFormat="1" x14ac:dyDescent="0.25">
      <c r="A48" s="20" t="s">
        <v>865</v>
      </c>
      <c r="B48" s="754"/>
      <c r="C48" s="298" t="s">
        <v>2915</v>
      </c>
      <c r="D48" s="35" t="s">
        <v>649</v>
      </c>
      <c r="E48" s="701" t="s">
        <v>2906</v>
      </c>
      <c r="F48" s="20" t="s">
        <v>54</v>
      </c>
      <c r="G48" s="20" t="s">
        <v>1517</v>
      </c>
      <c r="H48" s="404" t="s">
        <v>2877</v>
      </c>
      <c r="K48" s="39" t="s">
        <v>523</v>
      </c>
      <c r="L48" s="38" t="s">
        <v>327</v>
      </c>
      <c r="M48" s="678">
        <v>29.99</v>
      </c>
      <c r="N48" s="37">
        <v>1</v>
      </c>
      <c r="O48" s="228">
        <v>5</v>
      </c>
      <c r="P48" s="46">
        <v>0.17199999999999999</v>
      </c>
      <c r="Q48" s="20">
        <v>5.6</v>
      </c>
      <c r="R48" s="35">
        <v>2.2000000000000002</v>
      </c>
      <c r="S48" s="72">
        <v>2</v>
      </c>
      <c r="T48" s="46">
        <v>0.28999999999999998</v>
      </c>
      <c r="U48" s="35">
        <v>7.48</v>
      </c>
      <c r="V48" s="35">
        <v>2.36</v>
      </c>
      <c r="W48" s="72">
        <v>1.77</v>
      </c>
      <c r="X48" s="46">
        <v>1.4</v>
      </c>
      <c r="Y48" s="35">
        <v>12.2</v>
      </c>
      <c r="Z48" s="35">
        <v>11</v>
      </c>
      <c r="AA48" s="72">
        <v>2</v>
      </c>
      <c r="AB48" s="46">
        <v>12</v>
      </c>
      <c r="AC48" s="35">
        <v>17.5</v>
      </c>
      <c r="AD48" s="35">
        <v>12.5</v>
      </c>
      <c r="AE48" s="72">
        <v>12</v>
      </c>
      <c r="AF48" s="44">
        <f t="shared" si="9"/>
        <v>1.5190972222222223</v>
      </c>
      <c r="AG48" s="750" t="s">
        <v>3093</v>
      </c>
      <c r="AH48" s="750" t="s">
        <v>3079</v>
      </c>
      <c r="AI48" s="750" t="s">
        <v>3080</v>
      </c>
      <c r="AJ48" s="750" t="s">
        <v>3081</v>
      </c>
      <c r="AK48" s="750" t="s">
        <v>3084</v>
      </c>
      <c r="AO48" s="724" t="s">
        <v>3094</v>
      </c>
      <c r="AP48" s="20" t="s">
        <v>1839</v>
      </c>
      <c r="AQ48" s="16" t="s">
        <v>937</v>
      </c>
    </row>
    <row r="49" spans="1:43" s="20" customFormat="1" x14ac:dyDescent="0.25">
      <c r="A49" s="20" t="s">
        <v>865</v>
      </c>
      <c r="B49" s="754"/>
      <c r="C49" s="298" t="s">
        <v>2916</v>
      </c>
      <c r="D49" s="35" t="s">
        <v>649</v>
      </c>
      <c r="E49" s="701" t="s">
        <v>2906</v>
      </c>
      <c r="F49" s="20" t="s">
        <v>49</v>
      </c>
      <c r="G49" s="20" t="s">
        <v>1517</v>
      </c>
      <c r="H49" s="404" t="s">
        <v>2878</v>
      </c>
      <c r="K49" s="39" t="s">
        <v>523</v>
      </c>
      <c r="L49" s="38" t="s">
        <v>327</v>
      </c>
      <c r="M49" s="678">
        <v>29.99</v>
      </c>
      <c r="N49" s="37">
        <v>1</v>
      </c>
      <c r="O49" s="228">
        <v>5</v>
      </c>
      <c r="P49" s="46">
        <v>0.17199999999999999</v>
      </c>
      <c r="Q49" s="20">
        <v>5.6</v>
      </c>
      <c r="R49" s="35">
        <v>2.2000000000000002</v>
      </c>
      <c r="S49" s="72">
        <v>2</v>
      </c>
      <c r="T49" s="46">
        <v>0.28999999999999998</v>
      </c>
      <c r="U49" s="35">
        <v>7.48</v>
      </c>
      <c r="V49" s="35">
        <v>2.36</v>
      </c>
      <c r="W49" s="72">
        <v>1.77</v>
      </c>
      <c r="X49" s="46">
        <v>1.4</v>
      </c>
      <c r="Y49" s="35">
        <v>12.2</v>
      </c>
      <c r="Z49" s="35">
        <v>11</v>
      </c>
      <c r="AA49" s="72">
        <v>2</v>
      </c>
      <c r="AB49" s="46">
        <v>12</v>
      </c>
      <c r="AC49" s="35">
        <v>17.5</v>
      </c>
      <c r="AD49" s="35">
        <v>12.5</v>
      </c>
      <c r="AE49" s="72">
        <v>12</v>
      </c>
      <c r="AF49" s="44">
        <f t="shared" si="9"/>
        <v>1.5190972222222223</v>
      </c>
      <c r="AG49" s="750" t="s">
        <v>3093</v>
      </c>
      <c r="AH49" s="750" t="s">
        <v>3079</v>
      </c>
      <c r="AI49" s="750" t="s">
        <v>3080</v>
      </c>
      <c r="AJ49" s="750" t="s">
        <v>3081</v>
      </c>
      <c r="AK49" s="750" t="s">
        <v>3084</v>
      </c>
      <c r="AO49" s="724" t="s">
        <v>3094</v>
      </c>
      <c r="AP49" s="20" t="s">
        <v>1839</v>
      </c>
      <c r="AQ49" s="16" t="s">
        <v>937</v>
      </c>
    </row>
    <row r="50" spans="1:43" s="20" customFormat="1" x14ac:dyDescent="0.25">
      <c r="A50" s="20" t="s">
        <v>865</v>
      </c>
      <c r="B50" s="754"/>
      <c r="C50" s="298" t="s">
        <v>2917</v>
      </c>
      <c r="D50" s="35" t="s">
        <v>649</v>
      </c>
      <c r="E50" s="701" t="s">
        <v>2906</v>
      </c>
      <c r="F50" s="20" t="s">
        <v>110</v>
      </c>
      <c r="G50" s="20" t="s">
        <v>1517</v>
      </c>
      <c r="H50" s="404" t="s">
        <v>2879</v>
      </c>
      <c r="K50" s="39" t="s">
        <v>523</v>
      </c>
      <c r="L50" s="38" t="s">
        <v>327</v>
      </c>
      <c r="M50" s="678">
        <v>29.99</v>
      </c>
      <c r="N50" s="37">
        <v>1</v>
      </c>
      <c r="O50" s="228">
        <v>5</v>
      </c>
      <c r="P50" s="46">
        <v>0.17199999999999999</v>
      </c>
      <c r="Q50" s="20">
        <v>5.6</v>
      </c>
      <c r="R50" s="35">
        <v>2.2000000000000002</v>
      </c>
      <c r="S50" s="72">
        <v>2</v>
      </c>
      <c r="T50" s="46">
        <v>0.28999999999999998</v>
      </c>
      <c r="U50" s="35">
        <v>7.48</v>
      </c>
      <c r="V50" s="35">
        <v>2.36</v>
      </c>
      <c r="W50" s="72">
        <v>1.77</v>
      </c>
      <c r="X50" s="46">
        <v>1.4</v>
      </c>
      <c r="Y50" s="35">
        <v>12.2</v>
      </c>
      <c r="Z50" s="35">
        <v>11</v>
      </c>
      <c r="AA50" s="72">
        <v>2</v>
      </c>
      <c r="AB50" s="46">
        <v>12</v>
      </c>
      <c r="AC50" s="35">
        <v>17.5</v>
      </c>
      <c r="AD50" s="35">
        <v>12.5</v>
      </c>
      <c r="AE50" s="72">
        <v>12</v>
      </c>
      <c r="AF50" s="44">
        <f t="shared" si="9"/>
        <v>1.5190972222222223</v>
      </c>
      <c r="AG50" s="750" t="s">
        <v>3093</v>
      </c>
      <c r="AH50" s="750" t="s">
        <v>3079</v>
      </c>
      <c r="AI50" s="750" t="s">
        <v>3080</v>
      </c>
      <c r="AJ50" s="750" t="s">
        <v>3081</v>
      </c>
      <c r="AK50" s="750" t="s">
        <v>3084</v>
      </c>
      <c r="AO50" s="724" t="s">
        <v>3094</v>
      </c>
      <c r="AP50" s="20" t="s">
        <v>1839</v>
      </c>
      <c r="AQ50" s="16" t="s">
        <v>937</v>
      </c>
    </row>
    <row r="51" spans="1:43" s="20" customFormat="1" x14ac:dyDescent="0.25">
      <c r="A51" s="20" t="s">
        <v>865</v>
      </c>
      <c r="B51" s="754"/>
      <c r="C51" s="298" t="s">
        <v>2918</v>
      </c>
      <c r="D51" s="35" t="s">
        <v>649</v>
      </c>
      <c r="E51" s="701" t="s">
        <v>2906</v>
      </c>
      <c r="F51" s="20" t="s">
        <v>50</v>
      </c>
      <c r="G51" s="20" t="s">
        <v>1517</v>
      </c>
      <c r="H51" s="404" t="s">
        <v>2880</v>
      </c>
      <c r="K51" s="39" t="s">
        <v>523</v>
      </c>
      <c r="L51" s="38" t="s">
        <v>327</v>
      </c>
      <c r="M51" s="678">
        <v>29.99</v>
      </c>
      <c r="N51" s="37">
        <v>1</v>
      </c>
      <c r="O51" s="228">
        <v>5</v>
      </c>
      <c r="P51" s="46">
        <v>0.17199999999999999</v>
      </c>
      <c r="Q51" s="20">
        <v>5.6</v>
      </c>
      <c r="R51" s="35">
        <v>2.2000000000000002</v>
      </c>
      <c r="S51" s="72">
        <v>2</v>
      </c>
      <c r="T51" s="46">
        <v>0.28999999999999998</v>
      </c>
      <c r="U51" s="35">
        <v>7.48</v>
      </c>
      <c r="V51" s="35">
        <v>2.36</v>
      </c>
      <c r="W51" s="72">
        <v>1.77</v>
      </c>
      <c r="X51" s="46">
        <v>1.4</v>
      </c>
      <c r="Y51" s="35">
        <v>12.2</v>
      </c>
      <c r="Z51" s="35">
        <v>11</v>
      </c>
      <c r="AA51" s="72">
        <v>2</v>
      </c>
      <c r="AB51" s="46">
        <v>12</v>
      </c>
      <c r="AC51" s="35">
        <v>17.5</v>
      </c>
      <c r="AD51" s="35">
        <v>12.5</v>
      </c>
      <c r="AE51" s="72">
        <v>12</v>
      </c>
      <c r="AF51" s="44">
        <f t="shared" si="9"/>
        <v>1.5190972222222223</v>
      </c>
      <c r="AG51" s="750" t="s">
        <v>3093</v>
      </c>
      <c r="AH51" s="750" t="s">
        <v>3079</v>
      </c>
      <c r="AI51" s="750" t="s">
        <v>3080</v>
      </c>
      <c r="AJ51" s="750" t="s">
        <v>3081</v>
      </c>
      <c r="AK51" s="750" t="s">
        <v>3084</v>
      </c>
      <c r="AO51" s="724" t="s">
        <v>3094</v>
      </c>
      <c r="AP51" s="20" t="s">
        <v>1839</v>
      </c>
      <c r="AQ51" s="16" t="s">
        <v>937</v>
      </c>
    </row>
    <row r="52" spans="1:43" s="20" customFormat="1" x14ac:dyDescent="0.25">
      <c r="A52" s="20" t="s">
        <v>865</v>
      </c>
      <c r="B52" s="754"/>
      <c r="C52" s="298" t="s">
        <v>2919</v>
      </c>
      <c r="D52" s="35" t="s">
        <v>649</v>
      </c>
      <c r="E52" s="701" t="s">
        <v>2906</v>
      </c>
      <c r="F52" s="20" t="s">
        <v>2905</v>
      </c>
      <c r="G52" s="20" t="s">
        <v>1517</v>
      </c>
      <c r="H52" s="404" t="s">
        <v>2881</v>
      </c>
      <c r="K52" s="39" t="s">
        <v>523</v>
      </c>
      <c r="L52" s="38" t="s">
        <v>327</v>
      </c>
      <c r="M52" s="678">
        <v>29.99</v>
      </c>
      <c r="N52" s="37">
        <v>1</v>
      </c>
      <c r="O52" s="228">
        <v>5</v>
      </c>
      <c r="P52" s="46">
        <v>0.17199999999999999</v>
      </c>
      <c r="Q52" s="20">
        <v>5.6</v>
      </c>
      <c r="R52" s="35">
        <v>2.2000000000000002</v>
      </c>
      <c r="S52" s="72">
        <v>2</v>
      </c>
      <c r="T52" s="46">
        <v>0.28999999999999998</v>
      </c>
      <c r="U52" s="35">
        <v>7.48</v>
      </c>
      <c r="V52" s="35">
        <v>2.36</v>
      </c>
      <c r="W52" s="72">
        <v>1.77</v>
      </c>
      <c r="X52" s="46">
        <v>1.4</v>
      </c>
      <c r="Y52" s="35">
        <v>12.2</v>
      </c>
      <c r="Z52" s="35">
        <v>11</v>
      </c>
      <c r="AA52" s="72">
        <v>2</v>
      </c>
      <c r="AB52" s="46">
        <v>12</v>
      </c>
      <c r="AC52" s="35">
        <v>17.5</v>
      </c>
      <c r="AD52" s="35">
        <v>12.5</v>
      </c>
      <c r="AE52" s="72">
        <v>12</v>
      </c>
      <c r="AF52" s="44">
        <f t="shared" si="9"/>
        <v>1.5190972222222223</v>
      </c>
      <c r="AG52" s="750" t="s">
        <v>3093</v>
      </c>
      <c r="AH52" s="750" t="s">
        <v>3079</v>
      </c>
      <c r="AI52" s="750" t="s">
        <v>3080</v>
      </c>
      <c r="AJ52" s="750" t="s">
        <v>3081</v>
      </c>
      <c r="AK52" s="750" t="s">
        <v>3084</v>
      </c>
      <c r="AO52" s="724" t="s">
        <v>3094</v>
      </c>
      <c r="AP52" s="20" t="s">
        <v>1839</v>
      </c>
      <c r="AQ52" s="16" t="s">
        <v>937</v>
      </c>
    </row>
    <row r="53" spans="1:43" s="701" customFormat="1" x14ac:dyDescent="0.25">
      <c r="A53" s="701" t="s">
        <v>865</v>
      </c>
      <c r="B53" s="754"/>
      <c r="C53" s="701" t="s">
        <v>3136</v>
      </c>
      <c r="D53" s="701" t="s">
        <v>649</v>
      </c>
      <c r="E53" s="701" t="s">
        <v>3145</v>
      </c>
      <c r="F53" s="701" t="s">
        <v>49</v>
      </c>
      <c r="G53" s="20" t="s">
        <v>1517</v>
      </c>
      <c r="H53" s="781">
        <v>7391846018834</v>
      </c>
      <c r="K53" s="39" t="s">
        <v>523</v>
      </c>
      <c r="L53" s="38" t="s">
        <v>327</v>
      </c>
      <c r="M53" s="678">
        <v>29.99</v>
      </c>
      <c r="N53" s="37">
        <v>1</v>
      </c>
      <c r="O53" s="228">
        <v>5</v>
      </c>
      <c r="P53" s="46">
        <v>0.17199999999999999</v>
      </c>
      <c r="Q53" s="20">
        <v>5.6</v>
      </c>
      <c r="R53" s="35">
        <v>2.2000000000000002</v>
      </c>
      <c r="S53" s="72">
        <v>2</v>
      </c>
      <c r="T53" s="701">
        <v>0.35</v>
      </c>
      <c r="U53" s="701">
        <v>11.81</v>
      </c>
      <c r="V53" s="701">
        <v>5.51</v>
      </c>
      <c r="W53" s="751">
        <v>1.18</v>
      </c>
      <c r="Y53" s="782"/>
      <c r="Z53" s="782"/>
      <c r="AA53" s="782"/>
      <c r="AB53" s="782"/>
      <c r="AC53" s="782"/>
      <c r="AD53" s="782"/>
      <c r="AE53" s="782"/>
      <c r="AF53" s="782"/>
      <c r="AG53" s="750" t="s">
        <v>3093</v>
      </c>
      <c r="AH53" s="750" t="s">
        <v>3079</v>
      </c>
      <c r="AI53" s="750" t="s">
        <v>3080</v>
      </c>
      <c r="AJ53" s="750" t="s">
        <v>3081</v>
      </c>
      <c r="AK53" s="750" t="s">
        <v>3084</v>
      </c>
      <c r="AO53" s="779" t="s">
        <v>3094</v>
      </c>
      <c r="AP53" s="20" t="s">
        <v>1839</v>
      </c>
      <c r="AQ53" s="16" t="s">
        <v>937</v>
      </c>
    </row>
    <row r="54" spans="1:43" s="701" customFormat="1" x14ac:dyDescent="0.25">
      <c r="A54" s="701" t="s">
        <v>865</v>
      </c>
      <c r="B54" s="754"/>
      <c r="C54" s="701" t="s">
        <v>3137</v>
      </c>
      <c r="D54" s="701" t="s">
        <v>649</v>
      </c>
      <c r="E54" s="701" t="s">
        <v>3145</v>
      </c>
      <c r="F54" s="701" t="s">
        <v>50</v>
      </c>
      <c r="G54" s="20" t="s">
        <v>1517</v>
      </c>
      <c r="H54" s="781">
        <v>7391846018865</v>
      </c>
      <c r="K54" s="39" t="s">
        <v>523</v>
      </c>
      <c r="L54" s="38" t="s">
        <v>327</v>
      </c>
      <c r="M54" s="678">
        <v>29.99</v>
      </c>
      <c r="N54" s="37">
        <v>1</v>
      </c>
      <c r="O54" s="228">
        <v>5</v>
      </c>
      <c r="P54" s="46">
        <v>0.17199999999999999</v>
      </c>
      <c r="Q54" s="20">
        <v>5.6</v>
      </c>
      <c r="R54" s="35">
        <v>2.2000000000000002</v>
      </c>
      <c r="S54" s="72">
        <v>2</v>
      </c>
      <c r="T54" s="701">
        <v>0.35</v>
      </c>
      <c r="U54" s="701">
        <v>11.81</v>
      </c>
      <c r="V54" s="701">
        <v>5.51</v>
      </c>
      <c r="W54" s="751">
        <v>1.18</v>
      </c>
      <c r="Y54" s="782"/>
      <c r="Z54" s="782"/>
      <c r="AA54" s="782"/>
      <c r="AB54" s="782"/>
      <c r="AC54" s="782"/>
      <c r="AD54" s="782"/>
      <c r="AE54" s="782"/>
      <c r="AF54" s="782"/>
      <c r="AG54" s="750" t="s">
        <v>3093</v>
      </c>
      <c r="AH54" s="750" t="s">
        <v>3079</v>
      </c>
      <c r="AI54" s="750" t="s">
        <v>3080</v>
      </c>
      <c r="AJ54" s="750" t="s">
        <v>3081</v>
      </c>
      <c r="AK54" s="750" t="s">
        <v>3084</v>
      </c>
      <c r="AO54" s="779" t="s">
        <v>3094</v>
      </c>
      <c r="AP54" s="20" t="s">
        <v>1839</v>
      </c>
      <c r="AQ54" s="16" t="s">
        <v>937</v>
      </c>
    </row>
    <row r="55" spans="1:43" s="701" customFormat="1" x14ac:dyDescent="0.25">
      <c r="A55" s="701" t="s">
        <v>865</v>
      </c>
      <c r="B55" s="754"/>
      <c r="C55" s="701" t="s">
        <v>3138</v>
      </c>
      <c r="D55" s="701" t="s">
        <v>649</v>
      </c>
      <c r="E55" s="701" t="s">
        <v>3145</v>
      </c>
      <c r="F55" s="701" t="s">
        <v>110</v>
      </c>
      <c r="G55" s="20" t="s">
        <v>1517</v>
      </c>
      <c r="H55" s="781">
        <v>7391846018896</v>
      </c>
      <c r="K55" s="39" t="s">
        <v>523</v>
      </c>
      <c r="L55" s="38" t="s">
        <v>327</v>
      </c>
      <c r="M55" s="678">
        <v>29.99</v>
      </c>
      <c r="N55" s="37">
        <v>1</v>
      </c>
      <c r="O55" s="228">
        <v>5</v>
      </c>
      <c r="P55" s="46">
        <v>0.17199999999999999</v>
      </c>
      <c r="Q55" s="20">
        <v>5.6</v>
      </c>
      <c r="R55" s="35">
        <v>2.2000000000000002</v>
      </c>
      <c r="S55" s="72">
        <v>2</v>
      </c>
      <c r="T55" s="701">
        <v>0.35</v>
      </c>
      <c r="U55" s="701">
        <v>11.81</v>
      </c>
      <c r="V55" s="701">
        <v>5.51</v>
      </c>
      <c r="W55" s="751">
        <v>1.18</v>
      </c>
      <c r="Y55" s="782"/>
      <c r="Z55" s="782"/>
      <c r="AA55" s="782"/>
      <c r="AB55" s="782"/>
      <c r="AC55" s="782"/>
      <c r="AD55" s="782"/>
      <c r="AE55" s="782"/>
      <c r="AF55" s="782"/>
      <c r="AG55" s="750" t="s">
        <v>3093</v>
      </c>
      <c r="AH55" s="750" t="s">
        <v>3079</v>
      </c>
      <c r="AI55" s="750" t="s">
        <v>3080</v>
      </c>
      <c r="AJ55" s="750" t="s">
        <v>3081</v>
      </c>
      <c r="AK55" s="750" t="s">
        <v>3084</v>
      </c>
      <c r="AO55" s="779" t="s">
        <v>3094</v>
      </c>
      <c r="AP55" s="20" t="s">
        <v>1839</v>
      </c>
      <c r="AQ55" s="16" t="s">
        <v>937</v>
      </c>
    </row>
    <row r="56" spans="1:43" s="701" customFormat="1" x14ac:dyDescent="0.25">
      <c r="A56" s="701" t="s">
        <v>865</v>
      </c>
      <c r="B56" s="754"/>
      <c r="C56" s="701" t="s">
        <v>3139</v>
      </c>
      <c r="D56" s="701" t="s">
        <v>649</v>
      </c>
      <c r="E56" s="701" t="s">
        <v>3145</v>
      </c>
      <c r="F56" s="701" t="s">
        <v>54</v>
      </c>
      <c r="G56" s="20" t="s">
        <v>1517</v>
      </c>
      <c r="H56" s="781">
        <v>7391846018926</v>
      </c>
      <c r="K56" s="39" t="s">
        <v>523</v>
      </c>
      <c r="L56" s="38" t="s">
        <v>327</v>
      </c>
      <c r="M56" s="678">
        <v>29.99</v>
      </c>
      <c r="N56" s="37">
        <v>1</v>
      </c>
      <c r="O56" s="228">
        <v>5</v>
      </c>
      <c r="P56" s="46">
        <v>0.17199999999999999</v>
      </c>
      <c r="Q56" s="20">
        <v>5.6</v>
      </c>
      <c r="R56" s="35">
        <v>2.2000000000000002</v>
      </c>
      <c r="S56" s="72">
        <v>2</v>
      </c>
      <c r="T56" s="701">
        <v>0.35</v>
      </c>
      <c r="U56" s="701">
        <v>11.81</v>
      </c>
      <c r="V56" s="701">
        <v>5.51</v>
      </c>
      <c r="W56" s="751">
        <v>1.18</v>
      </c>
      <c r="Y56" s="782"/>
      <c r="Z56" s="782"/>
      <c r="AA56" s="782"/>
      <c r="AB56" s="782"/>
      <c r="AC56" s="782"/>
      <c r="AD56" s="782"/>
      <c r="AE56" s="782"/>
      <c r="AF56" s="782"/>
      <c r="AG56" s="750" t="s">
        <v>3093</v>
      </c>
      <c r="AH56" s="750" t="s">
        <v>3079</v>
      </c>
      <c r="AI56" s="750" t="s">
        <v>3080</v>
      </c>
      <c r="AJ56" s="750" t="s">
        <v>3081</v>
      </c>
      <c r="AK56" s="750" t="s">
        <v>3084</v>
      </c>
      <c r="AO56" s="779" t="s">
        <v>3094</v>
      </c>
      <c r="AP56" s="20" t="s">
        <v>1839</v>
      </c>
      <c r="AQ56" s="16" t="s">
        <v>937</v>
      </c>
    </row>
    <row r="57" spans="1:43" s="701" customFormat="1" x14ac:dyDescent="0.25">
      <c r="A57" s="701" t="s">
        <v>865</v>
      </c>
      <c r="B57" s="754"/>
      <c r="C57" s="701" t="s">
        <v>3140</v>
      </c>
      <c r="D57" s="701" t="s">
        <v>649</v>
      </c>
      <c r="E57" s="701" t="s">
        <v>3145</v>
      </c>
      <c r="F57" s="701" t="s">
        <v>111</v>
      </c>
      <c r="G57" s="20" t="s">
        <v>1517</v>
      </c>
      <c r="H57" s="781">
        <v>7391846018957</v>
      </c>
      <c r="K57" s="39" t="s">
        <v>523</v>
      </c>
      <c r="L57" s="38" t="s">
        <v>327</v>
      </c>
      <c r="M57" s="678">
        <v>29.99</v>
      </c>
      <c r="N57" s="37">
        <v>1</v>
      </c>
      <c r="O57" s="228">
        <v>5</v>
      </c>
      <c r="P57" s="46">
        <v>0.17199999999999999</v>
      </c>
      <c r="Q57" s="20">
        <v>5.6</v>
      </c>
      <c r="R57" s="35">
        <v>2.2000000000000002</v>
      </c>
      <c r="S57" s="72">
        <v>2</v>
      </c>
      <c r="T57" s="701">
        <v>0.35</v>
      </c>
      <c r="U57" s="701">
        <v>11.81</v>
      </c>
      <c r="V57" s="701">
        <v>5.51</v>
      </c>
      <c r="W57" s="751">
        <v>1.18</v>
      </c>
      <c r="Y57" s="782"/>
      <c r="Z57" s="782"/>
      <c r="AA57" s="782"/>
      <c r="AB57" s="782"/>
      <c r="AC57" s="782"/>
      <c r="AD57" s="782"/>
      <c r="AE57" s="782"/>
      <c r="AF57" s="782"/>
      <c r="AG57" s="750" t="s">
        <v>3093</v>
      </c>
      <c r="AH57" s="750" t="s">
        <v>3079</v>
      </c>
      <c r="AI57" s="750" t="s">
        <v>3080</v>
      </c>
      <c r="AJ57" s="750" t="s">
        <v>3081</v>
      </c>
      <c r="AK57" s="750" t="s">
        <v>3084</v>
      </c>
      <c r="AO57" s="779" t="s">
        <v>3094</v>
      </c>
      <c r="AP57" s="20" t="s">
        <v>1839</v>
      </c>
      <c r="AQ57" s="16" t="s">
        <v>937</v>
      </c>
    </row>
    <row r="58" spans="1:43" s="20" customFormat="1" x14ac:dyDescent="0.25">
      <c r="A58" s="20" t="s">
        <v>865</v>
      </c>
      <c r="B58" s="754"/>
      <c r="C58" s="298" t="s">
        <v>2920</v>
      </c>
      <c r="D58" s="35" t="s">
        <v>649</v>
      </c>
      <c r="E58" s="701" t="s">
        <v>2907</v>
      </c>
      <c r="F58" s="20" t="s">
        <v>111</v>
      </c>
      <c r="G58" s="20" t="s">
        <v>1517</v>
      </c>
      <c r="H58" s="404" t="s">
        <v>2882</v>
      </c>
      <c r="K58" s="39" t="s">
        <v>523</v>
      </c>
      <c r="L58" s="38" t="s">
        <v>327</v>
      </c>
      <c r="M58" s="678">
        <v>49.99</v>
      </c>
      <c r="N58" s="37">
        <v>1</v>
      </c>
      <c r="O58" s="228">
        <v>5</v>
      </c>
      <c r="P58" s="46">
        <v>0.26400000000000001</v>
      </c>
      <c r="Q58" s="20">
        <v>5.6</v>
      </c>
      <c r="R58" s="35">
        <v>2.2000000000000002</v>
      </c>
      <c r="S58" s="72">
        <v>2</v>
      </c>
      <c r="T58" s="46">
        <v>0.41</v>
      </c>
      <c r="U58" s="35">
        <v>10.94</v>
      </c>
      <c r="V58" s="35">
        <v>2.36</v>
      </c>
      <c r="W58" s="72">
        <v>1.77</v>
      </c>
      <c r="X58" s="46">
        <v>2.1</v>
      </c>
      <c r="Y58" s="35">
        <v>12.2</v>
      </c>
      <c r="Z58" s="35">
        <v>11</v>
      </c>
      <c r="AA58" s="72">
        <v>2</v>
      </c>
      <c r="AB58" s="46">
        <v>16.8</v>
      </c>
      <c r="AC58" s="35">
        <v>17.5</v>
      </c>
      <c r="AD58" s="35">
        <v>12.5</v>
      </c>
      <c r="AE58" s="72">
        <v>12</v>
      </c>
      <c r="AF58" s="44">
        <f t="shared" si="9"/>
        <v>1.5190972222222223</v>
      </c>
      <c r="AG58" s="724" t="s">
        <v>3096</v>
      </c>
      <c r="AH58" s="724" t="s">
        <v>3097</v>
      </c>
      <c r="AI58" s="724" t="s">
        <v>3093</v>
      </c>
      <c r="AJ58" s="724" t="s">
        <v>3080</v>
      </c>
      <c r="AK58" s="724" t="s">
        <v>3081</v>
      </c>
      <c r="AL58" s="724" t="s">
        <v>3084</v>
      </c>
      <c r="AO58" s="724" t="s">
        <v>3095</v>
      </c>
      <c r="AP58" s="20" t="s">
        <v>1839</v>
      </c>
      <c r="AQ58" s="16" t="s">
        <v>937</v>
      </c>
    </row>
    <row r="59" spans="1:43" s="20" customFormat="1" x14ac:dyDescent="0.25">
      <c r="A59" s="20" t="s">
        <v>865</v>
      </c>
      <c r="B59" s="754"/>
      <c r="C59" s="298" t="s">
        <v>2921</v>
      </c>
      <c r="D59" s="35" t="s">
        <v>649</v>
      </c>
      <c r="E59" s="701" t="s">
        <v>2907</v>
      </c>
      <c r="F59" s="20" t="s">
        <v>54</v>
      </c>
      <c r="G59" s="20" t="s">
        <v>1517</v>
      </c>
      <c r="H59" s="404" t="s">
        <v>2883</v>
      </c>
      <c r="K59" s="39" t="s">
        <v>523</v>
      </c>
      <c r="L59" s="38" t="s">
        <v>327</v>
      </c>
      <c r="M59" s="678">
        <v>49.99</v>
      </c>
      <c r="N59" s="37">
        <v>1</v>
      </c>
      <c r="O59" s="228">
        <v>5</v>
      </c>
      <c r="P59" s="46">
        <v>0.26400000000000001</v>
      </c>
      <c r="Q59" s="20">
        <v>5.6</v>
      </c>
      <c r="R59" s="35">
        <v>2.2000000000000002</v>
      </c>
      <c r="S59" s="72">
        <v>2</v>
      </c>
      <c r="T59" s="46">
        <v>0.41</v>
      </c>
      <c r="U59" s="35">
        <v>10.94</v>
      </c>
      <c r="V59" s="35">
        <v>2.36</v>
      </c>
      <c r="W59" s="72">
        <v>1.77</v>
      </c>
      <c r="X59" s="46">
        <v>2.1</v>
      </c>
      <c r="Y59" s="35">
        <v>12.2</v>
      </c>
      <c r="Z59" s="35">
        <v>11</v>
      </c>
      <c r="AA59" s="72">
        <v>2</v>
      </c>
      <c r="AB59" s="46">
        <v>16.8</v>
      </c>
      <c r="AC59" s="35">
        <v>17.5</v>
      </c>
      <c r="AD59" s="35">
        <v>12.5</v>
      </c>
      <c r="AE59" s="72">
        <v>12</v>
      </c>
      <c r="AF59" s="44">
        <f t="shared" si="9"/>
        <v>1.5190972222222223</v>
      </c>
      <c r="AG59" s="724" t="s">
        <v>3096</v>
      </c>
      <c r="AH59" s="724" t="s">
        <v>3097</v>
      </c>
      <c r="AI59" s="724" t="s">
        <v>3093</v>
      </c>
      <c r="AJ59" s="724" t="s">
        <v>3080</v>
      </c>
      <c r="AK59" s="724" t="s">
        <v>3081</v>
      </c>
      <c r="AL59" s="724" t="s">
        <v>3084</v>
      </c>
      <c r="AO59" s="724" t="s">
        <v>3095</v>
      </c>
      <c r="AP59" s="20" t="s">
        <v>1839</v>
      </c>
      <c r="AQ59" s="16" t="s">
        <v>937</v>
      </c>
    </row>
    <row r="60" spans="1:43" s="20" customFormat="1" x14ac:dyDescent="0.25">
      <c r="A60" s="20" t="s">
        <v>865</v>
      </c>
      <c r="B60" s="754"/>
      <c r="C60" s="298" t="s">
        <v>2922</v>
      </c>
      <c r="D60" s="35" t="s">
        <v>649</v>
      </c>
      <c r="E60" s="701" t="s">
        <v>2907</v>
      </c>
      <c r="F60" s="20" t="s">
        <v>49</v>
      </c>
      <c r="G60" s="20" t="s">
        <v>1517</v>
      </c>
      <c r="H60" s="404" t="s">
        <v>2884</v>
      </c>
      <c r="K60" s="39" t="s">
        <v>523</v>
      </c>
      <c r="L60" s="38" t="s">
        <v>327</v>
      </c>
      <c r="M60" s="678">
        <v>49.99</v>
      </c>
      <c r="N60" s="37">
        <v>1</v>
      </c>
      <c r="O60" s="228">
        <v>5</v>
      </c>
      <c r="P60" s="46">
        <v>0.26400000000000001</v>
      </c>
      <c r="Q60" s="20">
        <v>5.6</v>
      </c>
      <c r="R60" s="35">
        <v>2.2000000000000002</v>
      </c>
      <c r="S60" s="72">
        <v>2</v>
      </c>
      <c r="T60" s="46">
        <v>0.41</v>
      </c>
      <c r="U60" s="35">
        <v>10.94</v>
      </c>
      <c r="V60" s="35">
        <v>2.36</v>
      </c>
      <c r="W60" s="72">
        <v>1.77</v>
      </c>
      <c r="X60" s="46">
        <v>2.1</v>
      </c>
      <c r="Y60" s="35">
        <v>12.2</v>
      </c>
      <c r="Z60" s="35">
        <v>11</v>
      </c>
      <c r="AA60" s="72">
        <v>2</v>
      </c>
      <c r="AB60" s="46">
        <v>16.8</v>
      </c>
      <c r="AC60" s="35">
        <v>17.5</v>
      </c>
      <c r="AD60" s="35">
        <v>12.5</v>
      </c>
      <c r="AE60" s="72">
        <v>12</v>
      </c>
      <c r="AF60" s="44">
        <f t="shared" si="9"/>
        <v>1.5190972222222223</v>
      </c>
      <c r="AG60" s="724" t="s">
        <v>3096</v>
      </c>
      <c r="AH60" s="724" t="s">
        <v>3097</v>
      </c>
      <c r="AI60" s="724" t="s">
        <v>3093</v>
      </c>
      <c r="AJ60" s="724" t="s">
        <v>3080</v>
      </c>
      <c r="AK60" s="724" t="s">
        <v>3081</v>
      </c>
      <c r="AL60" s="724" t="s">
        <v>3084</v>
      </c>
      <c r="AO60" s="724" t="s">
        <v>3095</v>
      </c>
      <c r="AP60" s="20" t="s">
        <v>1839</v>
      </c>
      <c r="AQ60" s="16" t="s">
        <v>937</v>
      </c>
    </row>
    <row r="61" spans="1:43" s="20" customFormat="1" x14ac:dyDescent="0.25">
      <c r="A61" s="20" t="s">
        <v>865</v>
      </c>
      <c r="B61" s="754"/>
      <c r="C61" s="298" t="s">
        <v>2923</v>
      </c>
      <c r="D61" s="35" t="s">
        <v>649</v>
      </c>
      <c r="E61" s="701" t="s">
        <v>2907</v>
      </c>
      <c r="F61" s="20" t="s">
        <v>110</v>
      </c>
      <c r="G61" s="20" t="s">
        <v>1517</v>
      </c>
      <c r="H61" s="404" t="s">
        <v>2885</v>
      </c>
      <c r="K61" s="39" t="s">
        <v>523</v>
      </c>
      <c r="L61" s="38" t="s">
        <v>327</v>
      </c>
      <c r="M61" s="678">
        <v>49.99</v>
      </c>
      <c r="N61" s="37">
        <v>1</v>
      </c>
      <c r="O61" s="228">
        <v>5</v>
      </c>
      <c r="P61" s="46">
        <v>0.26400000000000001</v>
      </c>
      <c r="Q61" s="20">
        <v>5.6</v>
      </c>
      <c r="R61" s="35">
        <v>2.2000000000000002</v>
      </c>
      <c r="S61" s="72">
        <v>2</v>
      </c>
      <c r="T61" s="46">
        <v>0.41</v>
      </c>
      <c r="U61" s="35">
        <v>10.94</v>
      </c>
      <c r="V61" s="35">
        <v>2.36</v>
      </c>
      <c r="W61" s="72">
        <v>1.77</v>
      </c>
      <c r="X61" s="46">
        <v>2.1</v>
      </c>
      <c r="Y61" s="35">
        <v>12.2</v>
      </c>
      <c r="Z61" s="35">
        <v>11</v>
      </c>
      <c r="AA61" s="72">
        <v>2</v>
      </c>
      <c r="AB61" s="46">
        <v>16.8</v>
      </c>
      <c r="AC61" s="35">
        <v>17.5</v>
      </c>
      <c r="AD61" s="35">
        <v>12.5</v>
      </c>
      <c r="AE61" s="72">
        <v>12</v>
      </c>
      <c r="AF61" s="44">
        <f t="shared" si="9"/>
        <v>1.5190972222222223</v>
      </c>
      <c r="AG61" s="724" t="s">
        <v>3096</v>
      </c>
      <c r="AH61" s="724" t="s">
        <v>3097</v>
      </c>
      <c r="AI61" s="724" t="s">
        <v>3093</v>
      </c>
      <c r="AJ61" s="724" t="s">
        <v>3080</v>
      </c>
      <c r="AK61" s="724" t="s">
        <v>3081</v>
      </c>
      <c r="AL61" s="724" t="s">
        <v>3084</v>
      </c>
      <c r="AO61" s="724" t="s">
        <v>3095</v>
      </c>
      <c r="AP61" s="20" t="s">
        <v>1839</v>
      </c>
      <c r="AQ61" s="16" t="s">
        <v>937</v>
      </c>
    </row>
    <row r="62" spans="1:43" s="20" customFormat="1" x14ac:dyDescent="0.25">
      <c r="A62" s="20" t="s">
        <v>865</v>
      </c>
      <c r="B62" s="754"/>
      <c r="C62" s="298" t="s">
        <v>2924</v>
      </c>
      <c r="D62" s="35" t="s">
        <v>649</v>
      </c>
      <c r="E62" s="701" t="s">
        <v>2907</v>
      </c>
      <c r="F62" s="20" t="s">
        <v>50</v>
      </c>
      <c r="G62" s="20" t="s">
        <v>1517</v>
      </c>
      <c r="H62" s="404" t="s">
        <v>2886</v>
      </c>
      <c r="K62" s="39" t="s">
        <v>523</v>
      </c>
      <c r="L62" s="38" t="s">
        <v>327</v>
      </c>
      <c r="M62" s="678">
        <v>49.99</v>
      </c>
      <c r="N62" s="37">
        <v>1</v>
      </c>
      <c r="O62" s="228">
        <v>5</v>
      </c>
      <c r="P62" s="46">
        <v>0.26400000000000001</v>
      </c>
      <c r="Q62" s="20">
        <v>5.6</v>
      </c>
      <c r="R62" s="35">
        <v>2.2000000000000002</v>
      </c>
      <c r="S62" s="72">
        <v>2</v>
      </c>
      <c r="T62" s="46">
        <v>0.41</v>
      </c>
      <c r="U62" s="35">
        <v>10.94</v>
      </c>
      <c r="V62" s="35">
        <v>2.36</v>
      </c>
      <c r="W62" s="72">
        <v>1.77</v>
      </c>
      <c r="X62" s="46">
        <v>2.1</v>
      </c>
      <c r="Y62" s="35">
        <v>12.2</v>
      </c>
      <c r="Z62" s="35">
        <v>11</v>
      </c>
      <c r="AA62" s="72">
        <v>2</v>
      </c>
      <c r="AB62" s="46">
        <v>16.8</v>
      </c>
      <c r="AC62" s="35">
        <v>17.5</v>
      </c>
      <c r="AD62" s="35">
        <v>12.5</v>
      </c>
      <c r="AE62" s="72">
        <v>12</v>
      </c>
      <c r="AF62" s="44">
        <f t="shared" si="9"/>
        <v>1.5190972222222223</v>
      </c>
      <c r="AG62" s="724" t="s">
        <v>3096</v>
      </c>
      <c r="AH62" s="724" t="s">
        <v>3097</v>
      </c>
      <c r="AI62" s="724" t="s">
        <v>3093</v>
      </c>
      <c r="AJ62" s="724" t="s">
        <v>3080</v>
      </c>
      <c r="AK62" s="724" t="s">
        <v>3081</v>
      </c>
      <c r="AL62" s="724" t="s">
        <v>3084</v>
      </c>
      <c r="AO62" s="724" t="s">
        <v>3095</v>
      </c>
      <c r="AP62" s="20" t="s">
        <v>1839</v>
      </c>
      <c r="AQ62" s="16" t="s">
        <v>937</v>
      </c>
    </row>
    <row r="63" spans="1:43" s="20" customFormat="1" x14ac:dyDescent="0.25">
      <c r="A63" s="20" t="s">
        <v>865</v>
      </c>
      <c r="B63" s="754"/>
      <c r="C63" s="298" t="s">
        <v>3193</v>
      </c>
      <c r="D63" s="35" t="s">
        <v>649</v>
      </c>
      <c r="E63" s="701" t="s">
        <v>2907</v>
      </c>
      <c r="F63" s="20" t="s">
        <v>2905</v>
      </c>
      <c r="G63" s="20" t="s">
        <v>1517</v>
      </c>
      <c r="H63" s="404" t="s">
        <v>2887</v>
      </c>
      <c r="K63" s="39" t="s">
        <v>523</v>
      </c>
      <c r="L63" s="38" t="s">
        <v>327</v>
      </c>
      <c r="M63" s="678">
        <v>49.99</v>
      </c>
      <c r="N63" s="37">
        <v>1</v>
      </c>
      <c r="O63" s="228">
        <v>5</v>
      </c>
      <c r="P63" s="46">
        <v>0.26400000000000001</v>
      </c>
      <c r="Q63" s="20">
        <v>5.6</v>
      </c>
      <c r="R63" s="35">
        <v>2.2000000000000002</v>
      </c>
      <c r="S63" s="72">
        <v>2</v>
      </c>
      <c r="T63" s="46">
        <v>0.41</v>
      </c>
      <c r="U63" s="35">
        <v>10.94</v>
      </c>
      <c r="V63" s="35">
        <v>2.36</v>
      </c>
      <c r="W63" s="72">
        <v>1.77</v>
      </c>
      <c r="X63" s="46">
        <v>2.1</v>
      </c>
      <c r="Y63" s="35">
        <v>12.2</v>
      </c>
      <c r="Z63" s="35">
        <v>11</v>
      </c>
      <c r="AA63" s="72">
        <v>2</v>
      </c>
      <c r="AB63" s="46">
        <v>16.8</v>
      </c>
      <c r="AC63" s="35">
        <v>17.5</v>
      </c>
      <c r="AD63" s="35">
        <v>12.5</v>
      </c>
      <c r="AE63" s="72">
        <v>12</v>
      </c>
      <c r="AF63" s="44">
        <f t="shared" si="9"/>
        <v>1.5190972222222223</v>
      </c>
      <c r="AG63" s="724" t="s">
        <v>3096</v>
      </c>
      <c r="AH63" s="724" t="s">
        <v>3097</v>
      </c>
      <c r="AI63" s="724" t="s">
        <v>3093</v>
      </c>
      <c r="AJ63" s="724" t="s">
        <v>3080</v>
      </c>
      <c r="AK63" s="724" t="s">
        <v>3081</v>
      </c>
      <c r="AL63" s="724" t="s">
        <v>3084</v>
      </c>
      <c r="AO63" s="724" t="s">
        <v>3095</v>
      </c>
      <c r="AP63" s="20" t="s">
        <v>1839</v>
      </c>
      <c r="AQ63" s="16" t="s">
        <v>937</v>
      </c>
    </row>
    <row r="64" spans="1:43" s="701" customFormat="1" x14ac:dyDescent="0.25">
      <c r="A64" s="701" t="s">
        <v>865</v>
      </c>
      <c r="B64" s="754"/>
      <c r="C64" s="701" t="s">
        <v>3132</v>
      </c>
      <c r="D64" s="701" t="s">
        <v>649</v>
      </c>
      <c r="E64" s="701" t="s">
        <v>3142</v>
      </c>
      <c r="F64" s="701" t="s">
        <v>49</v>
      </c>
      <c r="G64" s="20" t="s">
        <v>1517</v>
      </c>
      <c r="H64" s="781">
        <v>7391846018681</v>
      </c>
      <c r="K64" s="39" t="s">
        <v>523</v>
      </c>
      <c r="L64" s="38" t="s">
        <v>327</v>
      </c>
      <c r="M64" s="678">
        <v>49.99</v>
      </c>
      <c r="N64" s="37">
        <v>1</v>
      </c>
      <c r="O64" s="228">
        <v>5</v>
      </c>
      <c r="P64" s="46">
        <v>0.26400000000000001</v>
      </c>
      <c r="Q64" s="20">
        <v>5.6</v>
      </c>
      <c r="R64" s="35">
        <v>2.2000000000000002</v>
      </c>
      <c r="S64" s="72">
        <v>2</v>
      </c>
      <c r="T64" s="701">
        <v>0.43</v>
      </c>
      <c r="U64" s="701">
        <v>11.81</v>
      </c>
      <c r="V64" s="701">
        <v>5.51</v>
      </c>
      <c r="W64" s="795">
        <v>1.18</v>
      </c>
      <c r="Y64" s="782"/>
      <c r="Z64" s="782"/>
      <c r="AA64" s="782"/>
      <c r="AB64" s="782"/>
      <c r="AC64" s="782"/>
      <c r="AD64" s="782"/>
      <c r="AE64" s="782"/>
      <c r="AF64" s="782"/>
      <c r="AG64" s="779" t="s">
        <v>3096</v>
      </c>
      <c r="AH64" s="779" t="s">
        <v>3097</v>
      </c>
      <c r="AI64" s="779" t="s">
        <v>3093</v>
      </c>
      <c r="AJ64" s="779" t="s">
        <v>3080</v>
      </c>
      <c r="AK64" s="779" t="s">
        <v>3081</v>
      </c>
      <c r="AL64" s="779" t="s">
        <v>3084</v>
      </c>
      <c r="AO64" s="779" t="s">
        <v>3095</v>
      </c>
      <c r="AP64" s="20" t="s">
        <v>1839</v>
      </c>
      <c r="AQ64" s="16" t="s">
        <v>937</v>
      </c>
    </row>
    <row r="65" spans="1:43" s="701" customFormat="1" x14ac:dyDescent="0.25">
      <c r="A65" s="701" t="s">
        <v>865</v>
      </c>
      <c r="B65" s="754"/>
      <c r="C65" s="701" t="s">
        <v>3133</v>
      </c>
      <c r="D65" s="701" t="s">
        <v>649</v>
      </c>
      <c r="E65" s="701" t="s">
        <v>3142</v>
      </c>
      <c r="F65" s="701" t="s">
        <v>50</v>
      </c>
      <c r="G65" s="20" t="s">
        <v>1517</v>
      </c>
      <c r="H65" s="781">
        <v>7391846018711</v>
      </c>
      <c r="K65" s="39" t="s">
        <v>523</v>
      </c>
      <c r="L65" s="38" t="s">
        <v>327</v>
      </c>
      <c r="M65" s="678">
        <v>49.99</v>
      </c>
      <c r="N65" s="37">
        <v>1</v>
      </c>
      <c r="O65" s="228">
        <v>5</v>
      </c>
      <c r="P65" s="46">
        <v>0.26400000000000001</v>
      </c>
      <c r="Q65" s="20">
        <v>5.6</v>
      </c>
      <c r="R65" s="35">
        <v>2.2000000000000002</v>
      </c>
      <c r="S65" s="72">
        <v>2</v>
      </c>
      <c r="T65" s="701">
        <v>0.43</v>
      </c>
      <c r="U65" s="701">
        <v>11.81</v>
      </c>
      <c r="V65" s="701">
        <v>5.51</v>
      </c>
      <c r="W65" s="795">
        <v>1.18</v>
      </c>
      <c r="Y65" s="782"/>
      <c r="Z65" s="782"/>
      <c r="AA65" s="782"/>
      <c r="AB65" s="782"/>
      <c r="AC65" s="782"/>
      <c r="AD65" s="782"/>
      <c r="AE65" s="782"/>
      <c r="AF65" s="782"/>
      <c r="AG65" s="779" t="s">
        <v>3096</v>
      </c>
      <c r="AH65" s="779" t="s">
        <v>3097</v>
      </c>
      <c r="AI65" s="779" t="s">
        <v>3093</v>
      </c>
      <c r="AJ65" s="779" t="s">
        <v>3080</v>
      </c>
      <c r="AK65" s="779" t="s">
        <v>3081</v>
      </c>
      <c r="AL65" s="779" t="s">
        <v>3084</v>
      </c>
      <c r="AO65" s="779" t="s">
        <v>3095</v>
      </c>
      <c r="AP65" s="20" t="s">
        <v>1839</v>
      </c>
      <c r="AQ65" s="16" t="s">
        <v>937</v>
      </c>
    </row>
    <row r="66" spans="1:43" s="701" customFormat="1" x14ac:dyDescent="0.25">
      <c r="A66" s="701" t="s">
        <v>865</v>
      </c>
      <c r="B66" s="754"/>
      <c r="C66" s="701" t="s">
        <v>3134</v>
      </c>
      <c r="D66" s="701" t="s">
        <v>649</v>
      </c>
      <c r="E66" s="701" t="s">
        <v>3142</v>
      </c>
      <c r="F66" s="701" t="s">
        <v>110</v>
      </c>
      <c r="G66" s="20" t="s">
        <v>1517</v>
      </c>
      <c r="H66" s="781">
        <v>7391846018742</v>
      </c>
      <c r="K66" s="39" t="s">
        <v>523</v>
      </c>
      <c r="L66" s="38" t="s">
        <v>327</v>
      </c>
      <c r="M66" s="678">
        <v>49.99</v>
      </c>
      <c r="N66" s="37">
        <v>1</v>
      </c>
      <c r="O66" s="228">
        <v>5</v>
      </c>
      <c r="P66" s="46">
        <v>0.26400000000000001</v>
      </c>
      <c r="Q66" s="20">
        <v>5.6</v>
      </c>
      <c r="R66" s="35">
        <v>2.2000000000000002</v>
      </c>
      <c r="S66" s="72">
        <v>2</v>
      </c>
      <c r="T66" s="701">
        <v>0.43</v>
      </c>
      <c r="U66" s="701">
        <v>11.81</v>
      </c>
      <c r="V66" s="701">
        <v>5.51</v>
      </c>
      <c r="W66" s="795">
        <v>1.18</v>
      </c>
      <c r="Y66" s="782"/>
      <c r="Z66" s="782"/>
      <c r="AA66" s="782"/>
      <c r="AB66" s="782"/>
      <c r="AC66" s="782"/>
      <c r="AD66" s="782"/>
      <c r="AE66" s="782"/>
      <c r="AF66" s="782"/>
      <c r="AG66" s="779" t="s">
        <v>3096</v>
      </c>
      <c r="AH66" s="779" t="s">
        <v>3097</v>
      </c>
      <c r="AI66" s="779" t="s">
        <v>3093</v>
      </c>
      <c r="AJ66" s="779" t="s">
        <v>3080</v>
      </c>
      <c r="AK66" s="779" t="s">
        <v>3081</v>
      </c>
      <c r="AL66" s="779" t="s">
        <v>3084</v>
      </c>
      <c r="AO66" s="779" t="s">
        <v>3095</v>
      </c>
      <c r="AP66" s="20" t="s">
        <v>1839</v>
      </c>
      <c r="AQ66" s="16" t="s">
        <v>937</v>
      </c>
    </row>
    <row r="67" spans="1:43" s="701" customFormat="1" x14ac:dyDescent="0.25">
      <c r="A67" s="701" t="s">
        <v>865</v>
      </c>
      <c r="B67" s="754"/>
      <c r="C67" s="701" t="s">
        <v>3141</v>
      </c>
      <c r="D67" s="701" t="s">
        <v>649</v>
      </c>
      <c r="E67" s="701" t="s">
        <v>3142</v>
      </c>
      <c r="F67" s="701" t="s">
        <v>3143</v>
      </c>
      <c r="G67" s="20" t="s">
        <v>1517</v>
      </c>
      <c r="H67" s="781">
        <v>7391846018773</v>
      </c>
      <c r="K67" s="39" t="s">
        <v>523</v>
      </c>
      <c r="L67" s="38" t="s">
        <v>327</v>
      </c>
      <c r="M67" s="678">
        <v>49.99</v>
      </c>
      <c r="N67" s="37">
        <v>1</v>
      </c>
      <c r="O67" s="228">
        <v>5</v>
      </c>
      <c r="P67" s="46">
        <v>0.26400000000000001</v>
      </c>
      <c r="Q67" s="20">
        <v>5.6</v>
      </c>
      <c r="R67" s="35">
        <v>2.2000000000000002</v>
      </c>
      <c r="S67" s="72">
        <v>2</v>
      </c>
      <c r="T67" s="701">
        <v>0.43</v>
      </c>
      <c r="U67" s="701">
        <v>11.81</v>
      </c>
      <c r="V67" s="701">
        <v>5.51</v>
      </c>
      <c r="W67" s="795">
        <v>1.18</v>
      </c>
      <c r="Y67" s="782"/>
      <c r="Z67" s="782"/>
      <c r="AA67" s="782"/>
      <c r="AB67" s="782"/>
      <c r="AC67" s="782"/>
      <c r="AD67" s="782"/>
      <c r="AE67" s="782"/>
      <c r="AF67" s="782"/>
      <c r="AG67" s="779" t="s">
        <v>3096</v>
      </c>
      <c r="AH67" s="779" t="s">
        <v>3097</v>
      </c>
      <c r="AI67" s="779" t="s">
        <v>3093</v>
      </c>
      <c r="AJ67" s="779" t="s">
        <v>3080</v>
      </c>
      <c r="AK67" s="779" t="s">
        <v>3081</v>
      </c>
      <c r="AL67" s="779" t="s">
        <v>3084</v>
      </c>
      <c r="AO67" s="779" t="s">
        <v>3095</v>
      </c>
      <c r="AP67" s="20" t="s">
        <v>1839</v>
      </c>
      <c r="AQ67" s="16" t="s">
        <v>937</v>
      </c>
    </row>
    <row r="68" spans="1:43" s="701" customFormat="1" x14ac:dyDescent="0.25">
      <c r="A68" s="701" t="s">
        <v>865</v>
      </c>
      <c r="B68" s="754"/>
      <c r="C68" s="701" t="s">
        <v>3135</v>
      </c>
      <c r="D68" s="701" t="s">
        <v>649</v>
      </c>
      <c r="E68" s="701" t="s">
        <v>3142</v>
      </c>
      <c r="F68" s="701" t="s">
        <v>111</v>
      </c>
      <c r="G68" s="20" t="s">
        <v>1517</v>
      </c>
      <c r="H68" s="781">
        <v>7391846018803</v>
      </c>
      <c r="K68" s="39" t="s">
        <v>523</v>
      </c>
      <c r="L68" s="38" t="s">
        <v>327</v>
      </c>
      <c r="M68" s="678">
        <v>49.99</v>
      </c>
      <c r="N68" s="37">
        <v>1</v>
      </c>
      <c r="O68" s="228">
        <v>5</v>
      </c>
      <c r="P68" s="46">
        <v>0.26400000000000001</v>
      </c>
      <c r="Q68" s="20">
        <v>5.6</v>
      </c>
      <c r="R68" s="35">
        <v>2.2000000000000002</v>
      </c>
      <c r="S68" s="72">
        <v>2</v>
      </c>
      <c r="T68" s="701">
        <v>0.43</v>
      </c>
      <c r="U68" s="701">
        <v>11.81</v>
      </c>
      <c r="V68" s="701">
        <v>5.51</v>
      </c>
      <c r="W68" s="795">
        <v>1.18</v>
      </c>
      <c r="Y68" s="782"/>
      <c r="Z68" s="782"/>
      <c r="AA68" s="782"/>
      <c r="AB68" s="782"/>
      <c r="AC68" s="782"/>
      <c r="AD68" s="782"/>
      <c r="AE68" s="782"/>
      <c r="AF68" s="782"/>
      <c r="AG68" s="779" t="s">
        <v>3096</v>
      </c>
      <c r="AH68" s="779" t="s">
        <v>3097</v>
      </c>
      <c r="AI68" s="779" t="s">
        <v>3093</v>
      </c>
      <c r="AJ68" s="779" t="s">
        <v>3080</v>
      </c>
      <c r="AK68" s="779" t="s">
        <v>3081</v>
      </c>
      <c r="AL68" s="779" t="s">
        <v>3084</v>
      </c>
      <c r="AO68" s="779" t="s">
        <v>3095</v>
      </c>
      <c r="AP68" s="20" t="s">
        <v>1839</v>
      </c>
      <c r="AQ68" s="16" t="s">
        <v>937</v>
      </c>
    </row>
    <row r="69" spans="1:43" s="701" customFormat="1" x14ac:dyDescent="0.25">
      <c r="A69" s="701" t="s">
        <v>865</v>
      </c>
      <c r="B69" s="754" t="s">
        <v>3209</v>
      </c>
      <c r="C69" s="701" t="s">
        <v>3200</v>
      </c>
      <c r="D69" s="701" t="s">
        <v>2957</v>
      </c>
      <c r="E69" s="701" t="s">
        <v>3201</v>
      </c>
      <c r="F69" s="701" t="s">
        <v>2957</v>
      </c>
      <c r="G69" s="20" t="s">
        <v>1517</v>
      </c>
      <c r="H69" s="781"/>
      <c r="K69" s="39" t="s">
        <v>364</v>
      </c>
      <c r="L69" s="38" t="s">
        <v>327</v>
      </c>
      <c r="M69" s="678">
        <v>24.99</v>
      </c>
      <c r="N69" s="37">
        <v>1</v>
      </c>
      <c r="O69" s="228">
        <v>5</v>
      </c>
      <c r="P69" s="46"/>
      <c r="Q69" s="20"/>
      <c r="R69" s="35"/>
      <c r="S69" s="72"/>
      <c r="T69" s="701">
        <v>0.13</v>
      </c>
      <c r="U69" s="701">
        <v>2.36</v>
      </c>
      <c r="V69" s="701">
        <v>1.77</v>
      </c>
      <c r="W69" s="795">
        <v>3.43</v>
      </c>
      <c r="X69" s="701">
        <v>0.75</v>
      </c>
      <c r="Y69" s="751">
        <v>9.25</v>
      </c>
      <c r="Z69" s="751">
        <v>3.75</v>
      </c>
      <c r="AA69" s="751">
        <v>3.125</v>
      </c>
      <c r="AB69" s="782"/>
      <c r="AC69" s="782"/>
      <c r="AD69" s="782"/>
      <c r="AE69" s="782"/>
      <c r="AF69" s="782"/>
      <c r="AG69" s="785"/>
      <c r="AH69" s="785"/>
      <c r="AI69" s="785"/>
      <c r="AJ69" s="785"/>
      <c r="AK69" s="785"/>
      <c r="AL69" s="785"/>
      <c r="AO69" s="785"/>
      <c r="AP69" s="20"/>
      <c r="AQ69" s="16"/>
    </row>
    <row r="70" spans="1:43" s="16" customFormat="1" x14ac:dyDescent="0.25">
      <c r="A70" s="20" t="s">
        <v>865</v>
      </c>
      <c r="B70" s="20"/>
      <c r="C70" s="4" t="s">
        <v>472</v>
      </c>
      <c r="D70" s="4" t="s">
        <v>621</v>
      </c>
      <c r="E70" s="4" t="s">
        <v>672</v>
      </c>
      <c r="F70" s="20" t="s">
        <v>588</v>
      </c>
      <c r="G70" s="20" t="s">
        <v>2265</v>
      </c>
      <c r="H70" s="5" t="s">
        <v>515</v>
      </c>
      <c r="I70" s="20"/>
      <c r="J70" s="20"/>
      <c r="K70" s="39" t="s">
        <v>523</v>
      </c>
      <c r="L70" s="38" t="s">
        <v>327</v>
      </c>
      <c r="M70" s="682">
        <v>19.989999999999998</v>
      </c>
      <c r="N70" s="37">
        <v>1</v>
      </c>
      <c r="O70" s="281">
        <v>15</v>
      </c>
      <c r="P70" s="46">
        <f>CONVERT(0.103,"kg","lbm")</f>
        <v>0.2270761300504239</v>
      </c>
      <c r="Q70" s="549">
        <f>CONVERT(216,"mm","in")</f>
        <v>8.5039370078740166</v>
      </c>
      <c r="R70" s="549">
        <f>CONVERT(103,"mm","in")</f>
        <v>4.0551181102362204</v>
      </c>
      <c r="S70" s="550">
        <v>2</v>
      </c>
      <c r="T70" s="46">
        <v>0.2270761300504239</v>
      </c>
      <c r="U70" s="35">
        <v>9</v>
      </c>
      <c r="V70" s="35">
        <v>1.8125</v>
      </c>
      <c r="W70" s="788">
        <v>1.375</v>
      </c>
      <c r="X70" s="93" t="s">
        <v>66</v>
      </c>
      <c r="Y70" s="93" t="s">
        <v>66</v>
      </c>
      <c r="Z70" s="93" t="s">
        <v>66</v>
      </c>
      <c r="AA70" s="291" t="s">
        <v>66</v>
      </c>
      <c r="AB70" s="46">
        <v>3.9572976062185523</v>
      </c>
      <c r="AC70" s="35">
        <v>9.8125</v>
      </c>
      <c r="AD70" s="35">
        <v>5.25</v>
      </c>
      <c r="AE70" s="72">
        <v>10.25</v>
      </c>
      <c r="AF70" s="44">
        <f t="shared" ref="AF70:AF79" si="10">AC70*AD70*AE70/(12^3)</f>
        <v>0.3055759006076389</v>
      </c>
      <c r="AG70" s="86" t="s">
        <v>2462</v>
      </c>
      <c r="AH70" s="86" t="s">
        <v>2458</v>
      </c>
      <c r="AI70" s="39" t="s">
        <v>2466</v>
      </c>
      <c r="AJ70" s="86" t="s">
        <v>2487</v>
      </c>
      <c r="AK70" s="20"/>
      <c r="AL70" s="20"/>
      <c r="AM70" s="20"/>
      <c r="AN70" s="20"/>
      <c r="AO70" s="20" t="s">
        <v>2488</v>
      </c>
      <c r="AP70" s="20" t="s">
        <v>1839</v>
      </c>
      <c r="AQ70" s="16" t="s">
        <v>937</v>
      </c>
    </row>
    <row r="71" spans="1:43" s="16" customFormat="1" ht="12.75" customHeight="1" x14ac:dyDescent="0.25">
      <c r="A71" s="20" t="s">
        <v>865</v>
      </c>
      <c r="B71" s="20"/>
      <c r="C71" s="4" t="s">
        <v>923</v>
      </c>
      <c r="D71" s="4" t="s">
        <v>621</v>
      </c>
      <c r="E71" s="4" t="s">
        <v>924</v>
      </c>
      <c r="F71" s="20" t="s">
        <v>111</v>
      </c>
      <c r="G71" s="20" t="s">
        <v>2265</v>
      </c>
      <c r="H71" s="5" t="s">
        <v>925</v>
      </c>
      <c r="I71" s="20"/>
      <c r="J71" s="290"/>
      <c r="K71" s="39" t="s">
        <v>523</v>
      </c>
      <c r="L71" s="38" t="s">
        <v>327</v>
      </c>
      <c r="M71" s="685">
        <v>17.989999999999998</v>
      </c>
      <c r="N71" s="37">
        <v>1</v>
      </c>
      <c r="O71" s="281">
        <v>15</v>
      </c>
      <c r="P71" s="46">
        <f>CONVERT(0.0888,"kg","lbm")</f>
        <v>0.19577048882017131</v>
      </c>
      <c r="Q71" s="549">
        <f>CONVERT(208,"mm","in")</f>
        <v>8.1889763779527556</v>
      </c>
      <c r="R71" s="549">
        <f>CONVERT(95,"mm","in")</f>
        <v>3.7401574803149606</v>
      </c>
      <c r="S71" s="550">
        <v>2</v>
      </c>
      <c r="T71" s="46">
        <v>0.22046226218487758</v>
      </c>
      <c r="U71" s="35">
        <v>9</v>
      </c>
      <c r="V71" s="35">
        <v>1.25</v>
      </c>
      <c r="W71" s="72">
        <v>1</v>
      </c>
      <c r="X71" s="94" t="s">
        <v>66</v>
      </c>
      <c r="Y71" s="93" t="s">
        <v>66</v>
      </c>
      <c r="Z71" s="93" t="s">
        <v>66</v>
      </c>
      <c r="AA71" s="291" t="s">
        <v>66</v>
      </c>
      <c r="AB71" s="46">
        <v>3.45</v>
      </c>
      <c r="AC71" s="35">
        <v>10</v>
      </c>
      <c r="AD71" s="35">
        <v>5.25</v>
      </c>
      <c r="AE71" s="72">
        <v>1.25</v>
      </c>
      <c r="AF71" s="44">
        <f t="shared" si="10"/>
        <v>3.7977430555555552E-2</v>
      </c>
      <c r="AG71" s="86" t="s">
        <v>2462</v>
      </c>
      <c r="AH71" s="575" t="s">
        <v>2492</v>
      </c>
      <c r="AI71" s="86" t="s">
        <v>2489</v>
      </c>
      <c r="AJ71" s="86" t="s">
        <v>2490</v>
      </c>
      <c r="AK71" s="576"/>
      <c r="AL71" s="576"/>
      <c r="AM71" s="576"/>
      <c r="AN71" s="576"/>
      <c r="AO71" s="86" t="s">
        <v>2491</v>
      </c>
      <c r="AP71" s="20" t="s">
        <v>1839</v>
      </c>
      <c r="AQ71" s="16" t="s">
        <v>937</v>
      </c>
    </row>
    <row r="72" spans="1:43" s="410" customFormat="1" x14ac:dyDescent="0.25">
      <c r="A72" s="410" t="s">
        <v>865</v>
      </c>
      <c r="C72" s="526" t="s">
        <v>474</v>
      </c>
      <c r="D72" s="526" t="s">
        <v>649</v>
      </c>
      <c r="E72" s="526" t="s">
        <v>2306</v>
      </c>
      <c r="F72" s="410" t="s">
        <v>2307</v>
      </c>
      <c r="G72" s="410" t="s">
        <v>2265</v>
      </c>
      <c r="H72" s="527" t="s">
        <v>517</v>
      </c>
      <c r="K72" s="421" t="s">
        <v>2308</v>
      </c>
      <c r="L72" s="415" t="s">
        <v>327</v>
      </c>
      <c r="M72" s="683">
        <v>29.99</v>
      </c>
      <c r="N72" s="417">
        <v>1</v>
      </c>
      <c r="O72" s="528">
        <v>15</v>
      </c>
      <c r="P72" s="419">
        <f>CONVERT(0.069,"kg","lbm")</f>
        <v>0.15211896090756555</v>
      </c>
      <c r="Q72" s="551">
        <f>CONVERT(175,"mm","in")</f>
        <v>6.8897637795275584</v>
      </c>
      <c r="R72" s="551">
        <f>CONVERT(85,"mm","in")</f>
        <v>3.3464566929133857</v>
      </c>
      <c r="S72" s="552">
        <v>2</v>
      </c>
      <c r="T72" s="419">
        <v>0.15211896090756552</v>
      </c>
      <c r="U72" s="412">
        <v>9.75</v>
      </c>
      <c r="V72" s="412">
        <v>5</v>
      </c>
      <c r="W72" s="420">
        <v>1.5</v>
      </c>
      <c r="X72" s="529" t="s">
        <v>66</v>
      </c>
      <c r="Y72" s="473" t="s">
        <v>66</v>
      </c>
      <c r="Z72" s="473" t="s">
        <v>66</v>
      </c>
      <c r="AA72" s="474" t="s">
        <v>66</v>
      </c>
      <c r="AB72" s="419">
        <v>3.1</v>
      </c>
      <c r="AC72" s="412">
        <v>9.75</v>
      </c>
      <c r="AD72" s="412">
        <v>5</v>
      </c>
      <c r="AE72" s="420">
        <v>10.25</v>
      </c>
      <c r="AF72" s="419">
        <f t="shared" si="10"/>
        <v>0.28917100694444442</v>
      </c>
      <c r="AG72" s="530" t="s">
        <v>2493</v>
      </c>
      <c r="AH72" s="410" t="s">
        <v>2495</v>
      </c>
      <c r="AI72" s="530" t="s">
        <v>2494</v>
      </c>
      <c r="AJ72" s="530" t="s">
        <v>2511</v>
      </c>
      <c r="AK72" s="530" t="s">
        <v>2496</v>
      </c>
      <c r="AO72" s="530" t="s">
        <v>2497</v>
      </c>
      <c r="AP72" s="410" t="s">
        <v>1839</v>
      </c>
      <c r="AQ72" s="410" t="s">
        <v>937</v>
      </c>
    </row>
    <row r="73" spans="1:43" s="20" customFormat="1" x14ac:dyDescent="0.25">
      <c r="A73" s="20" t="s">
        <v>865</v>
      </c>
      <c r="C73" s="4" t="s">
        <v>2683</v>
      </c>
      <c r="D73" s="4" t="s">
        <v>649</v>
      </c>
      <c r="E73" s="4" t="s">
        <v>2306</v>
      </c>
      <c r="F73" s="20" t="s">
        <v>50</v>
      </c>
      <c r="G73" s="20" t="s">
        <v>2539</v>
      </c>
      <c r="H73" s="5"/>
      <c r="J73" s="290"/>
      <c r="K73" s="39" t="s">
        <v>2308</v>
      </c>
      <c r="L73" s="38" t="s">
        <v>327</v>
      </c>
      <c r="M73" s="682">
        <v>39.99</v>
      </c>
      <c r="N73" s="37">
        <v>1</v>
      </c>
      <c r="O73" s="281">
        <v>5</v>
      </c>
      <c r="P73" s="46">
        <f>CONVERT(0.069,"kg","lbm")</f>
        <v>0.15211896090756555</v>
      </c>
      <c r="Q73" s="549">
        <f>CONVERT(178,"mm","in")</f>
        <v>7.0078740157480315</v>
      </c>
      <c r="R73" s="549">
        <f>CONVERT(85,"mm","in")</f>
        <v>3.3464566929133857</v>
      </c>
      <c r="S73" s="550">
        <v>2</v>
      </c>
      <c r="T73" s="46">
        <v>0.15211896090756552</v>
      </c>
      <c r="U73" s="35">
        <v>9.75</v>
      </c>
      <c r="V73" s="35">
        <v>5</v>
      </c>
      <c r="W73" s="72">
        <v>1.5</v>
      </c>
      <c r="X73" s="789" t="s">
        <v>66</v>
      </c>
      <c r="Y73" s="790" t="s">
        <v>66</v>
      </c>
      <c r="Z73" s="790" t="s">
        <v>66</v>
      </c>
      <c r="AA73" s="93" t="s">
        <v>66</v>
      </c>
      <c r="AB73" s="46">
        <v>1.55</v>
      </c>
      <c r="AC73" s="35">
        <v>12</v>
      </c>
      <c r="AD73" s="35">
        <v>5.75</v>
      </c>
      <c r="AE73" s="72">
        <v>5.75</v>
      </c>
      <c r="AF73" s="46">
        <f t="shared" si="10"/>
        <v>0.22960069444444445</v>
      </c>
      <c r="AG73" s="86" t="s">
        <v>2493</v>
      </c>
      <c r="AH73" s="20" t="s">
        <v>2495</v>
      </c>
      <c r="AI73" s="86" t="s">
        <v>2684</v>
      </c>
      <c r="AJ73" s="86" t="s">
        <v>2511</v>
      </c>
      <c r="AK73" s="86" t="s">
        <v>2685</v>
      </c>
      <c r="AO73" s="86" t="s">
        <v>2497</v>
      </c>
      <c r="AP73" s="20" t="s">
        <v>1839</v>
      </c>
      <c r="AQ73" s="20" t="s">
        <v>937</v>
      </c>
    </row>
    <row r="74" spans="1:43" s="20" customFormat="1" x14ac:dyDescent="0.25">
      <c r="A74" s="20" t="s">
        <v>865</v>
      </c>
      <c r="C74" s="4" t="s">
        <v>3202</v>
      </c>
      <c r="D74" s="4" t="s">
        <v>649</v>
      </c>
      <c r="E74" s="4" t="s">
        <v>2306</v>
      </c>
      <c r="F74" s="20" t="s">
        <v>51</v>
      </c>
      <c r="G74" s="20" t="s">
        <v>2539</v>
      </c>
      <c r="H74" s="5"/>
      <c r="J74" s="290"/>
      <c r="K74" s="39" t="s">
        <v>2308</v>
      </c>
      <c r="L74" s="38" t="s">
        <v>327</v>
      </c>
      <c r="M74" s="682">
        <v>39.99</v>
      </c>
      <c r="N74" s="37">
        <v>1</v>
      </c>
      <c r="O74" s="281">
        <v>5</v>
      </c>
      <c r="P74" s="46">
        <f>CONVERT(0.069,"kg","lbm")</f>
        <v>0.15211896090756555</v>
      </c>
      <c r="Q74" s="549">
        <f>CONVERT(178,"mm","in")</f>
        <v>7.0078740157480315</v>
      </c>
      <c r="R74" s="549">
        <f>CONVERT(85,"mm","in")</f>
        <v>3.3464566929133857</v>
      </c>
      <c r="S74" s="550">
        <v>2</v>
      </c>
      <c r="T74" s="46">
        <v>0.15211896090756552</v>
      </c>
      <c r="U74" s="35">
        <v>9.75</v>
      </c>
      <c r="V74" s="35">
        <v>5</v>
      </c>
      <c r="W74" s="72">
        <v>1.5</v>
      </c>
      <c r="X74" s="789" t="s">
        <v>66</v>
      </c>
      <c r="Y74" s="790" t="s">
        <v>66</v>
      </c>
      <c r="Z74" s="790" t="s">
        <v>66</v>
      </c>
      <c r="AA74" s="93" t="s">
        <v>66</v>
      </c>
      <c r="AB74" s="46">
        <v>1.55</v>
      </c>
      <c r="AC74" s="35">
        <v>12</v>
      </c>
      <c r="AD74" s="35">
        <v>5.75</v>
      </c>
      <c r="AE74" s="72">
        <v>5.75</v>
      </c>
      <c r="AF74" s="46">
        <f t="shared" si="10"/>
        <v>0.22960069444444445</v>
      </c>
      <c r="AG74" s="86" t="s">
        <v>2493</v>
      </c>
      <c r="AH74" s="20" t="s">
        <v>2495</v>
      </c>
      <c r="AI74" s="86" t="s">
        <v>3203</v>
      </c>
      <c r="AJ74" s="86" t="s">
        <v>2511</v>
      </c>
      <c r="AK74" s="86" t="s">
        <v>2685</v>
      </c>
      <c r="AO74" s="86" t="s">
        <v>2497</v>
      </c>
      <c r="AP74" s="20" t="s">
        <v>1839</v>
      </c>
      <c r="AQ74" s="20" t="s">
        <v>937</v>
      </c>
    </row>
    <row r="75" spans="1:43" s="16" customFormat="1" x14ac:dyDescent="0.25">
      <c r="A75" s="20" t="s">
        <v>865</v>
      </c>
      <c r="B75" s="20"/>
      <c r="C75" s="4" t="s">
        <v>475</v>
      </c>
      <c r="D75" s="4" t="s">
        <v>643</v>
      </c>
      <c r="E75" s="4" t="s">
        <v>2310</v>
      </c>
      <c r="F75" s="20" t="s">
        <v>51</v>
      </c>
      <c r="G75" s="20" t="s">
        <v>1507</v>
      </c>
      <c r="H75" s="68">
        <v>7391846013839</v>
      </c>
      <c r="I75" s="20"/>
      <c r="J75" s="290"/>
      <c r="K75" s="39" t="s">
        <v>526</v>
      </c>
      <c r="L75" s="38" t="s">
        <v>327</v>
      </c>
      <c r="M75" s="682">
        <v>69.989999999999995</v>
      </c>
      <c r="N75" s="37">
        <v>1</v>
      </c>
      <c r="O75" s="281">
        <v>5</v>
      </c>
      <c r="P75" s="46">
        <f>CONVERT(0.5,"kg","lbm")</f>
        <v>1.1023113109243878</v>
      </c>
      <c r="Q75" s="549">
        <f>CONVERT(322,"mm","in")</f>
        <v>12.677165354330709</v>
      </c>
      <c r="R75" s="549">
        <f>CONVERT(115,"mm","in")</f>
        <v>4.5275590551181102</v>
      </c>
      <c r="S75" s="550">
        <v>6</v>
      </c>
      <c r="T75" s="46" t="s">
        <v>1643</v>
      </c>
      <c r="U75" s="35">
        <v>5</v>
      </c>
      <c r="V75" s="35">
        <v>1.375</v>
      </c>
      <c r="W75" s="72">
        <v>13.317500000000001</v>
      </c>
      <c r="X75" s="789" t="s">
        <v>66</v>
      </c>
      <c r="Y75" s="93" t="s">
        <v>66</v>
      </c>
      <c r="Z75" s="93" t="s">
        <v>66</v>
      </c>
      <c r="AA75" s="291" t="s">
        <v>66</v>
      </c>
      <c r="AB75" s="46">
        <v>6.11</v>
      </c>
      <c r="AC75" s="35">
        <v>15</v>
      </c>
      <c r="AD75" s="35">
        <v>5.25</v>
      </c>
      <c r="AE75" s="72">
        <v>3.75</v>
      </c>
      <c r="AF75" s="44">
        <f t="shared" si="10"/>
        <v>0.1708984375</v>
      </c>
      <c r="AG75" s="86" t="s">
        <v>527</v>
      </c>
      <c r="AH75" s="86" t="s">
        <v>528</v>
      </c>
      <c r="AI75" s="86" t="s">
        <v>2498</v>
      </c>
      <c r="AJ75" s="86" t="s">
        <v>2499</v>
      </c>
      <c r="AK75" s="86"/>
      <c r="AL75" s="86"/>
      <c r="AM75" s="86"/>
      <c r="AN75" s="86"/>
      <c r="AO75" s="86" t="s">
        <v>2500</v>
      </c>
      <c r="AP75" s="20" t="s">
        <v>1839</v>
      </c>
      <c r="AQ75" s="16" t="s">
        <v>937</v>
      </c>
    </row>
    <row r="76" spans="1:43" s="16" customFormat="1" x14ac:dyDescent="0.25">
      <c r="A76" s="20" t="s">
        <v>865</v>
      </c>
      <c r="B76" s="20"/>
      <c r="C76" s="4" t="s">
        <v>647</v>
      </c>
      <c r="D76" s="4" t="s">
        <v>643</v>
      </c>
      <c r="E76" s="4" t="s">
        <v>2310</v>
      </c>
      <c r="F76" s="20" t="s">
        <v>930</v>
      </c>
      <c r="G76" s="20" t="s">
        <v>1507</v>
      </c>
      <c r="H76" s="68">
        <v>7391846199106</v>
      </c>
      <c r="I76" s="20"/>
      <c r="J76" s="290"/>
      <c r="K76" s="39" t="s">
        <v>526</v>
      </c>
      <c r="L76" s="38" t="s">
        <v>327</v>
      </c>
      <c r="M76" s="682">
        <v>69.989999999999995</v>
      </c>
      <c r="N76" s="37">
        <v>1</v>
      </c>
      <c r="O76" s="281">
        <v>5</v>
      </c>
      <c r="P76" s="46">
        <f>CONVERT(0.5,"kg","lbm")</f>
        <v>1.1023113109243878</v>
      </c>
      <c r="Q76" s="549">
        <f>CONVERT(322,"mm","in")</f>
        <v>12.677165354330709</v>
      </c>
      <c r="R76" s="549">
        <f>CONVERT(115,"mm","in")</f>
        <v>4.5275590551181102</v>
      </c>
      <c r="S76" s="550">
        <v>6</v>
      </c>
      <c r="T76" s="46" t="s">
        <v>1643</v>
      </c>
      <c r="U76" s="35">
        <v>5</v>
      </c>
      <c r="V76" s="35">
        <v>1.375</v>
      </c>
      <c r="W76" s="72">
        <v>13.317500000000001</v>
      </c>
      <c r="X76" s="94" t="s">
        <v>66</v>
      </c>
      <c r="Y76" s="93" t="s">
        <v>66</v>
      </c>
      <c r="Z76" s="93" t="s">
        <v>66</v>
      </c>
      <c r="AA76" s="291" t="s">
        <v>66</v>
      </c>
      <c r="AB76" s="46">
        <v>6.15</v>
      </c>
      <c r="AC76" s="35">
        <v>15</v>
      </c>
      <c r="AD76" s="35">
        <v>5.25</v>
      </c>
      <c r="AE76" s="72">
        <v>4</v>
      </c>
      <c r="AF76" s="44">
        <f t="shared" si="10"/>
        <v>0.18229166666666666</v>
      </c>
      <c r="AG76" s="86" t="s">
        <v>527</v>
      </c>
      <c r="AH76" s="86" t="s">
        <v>528</v>
      </c>
      <c r="AI76" s="86" t="s">
        <v>2498</v>
      </c>
      <c r="AJ76" s="86" t="s">
        <v>2499</v>
      </c>
      <c r="AK76" s="86"/>
      <c r="AL76" s="86"/>
      <c r="AM76" s="86"/>
      <c r="AN76" s="86"/>
      <c r="AO76" s="86" t="s">
        <v>2500</v>
      </c>
      <c r="AP76" s="20" t="s">
        <v>1839</v>
      </c>
      <c r="AQ76" s="16" t="s">
        <v>937</v>
      </c>
    </row>
    <row r="77" spans="1:43" s="16" customFormat="1" ht="12.75" customHeight="1" x14ac:dyDescent="0.25">
      <c r="A77" s="20" t="s">
        <v>865</v>
      </c>
      <c r="B77" s="20"/>
      <c r="C77" s="4" t="s">
        <v>476</v>
      </c>
      <c r="D77" s="4" t="s">
        <v>1669</v>
      </c>
      <c r="E77" s="4" t="s">
        <v>2313</v>
      </c>
      <c r="F77" s="20" t="s">
        <v>51</v>
      </c>
      <c r="G77" s="20" t="s">
        <v>1485</v>
      </c>
      <c r="H77" s="5" t="s">
        <v>518</v>
      </c>
      <c r="I77" s="20"/>
      <c r="J77" s="290"/>
      <c r="K77" s="39" t="s">
        <v>526</v>
      </c>
      <c r="L77" s="38" t="s">
        <v>327</v>
      </c>
      <c r="M77" s="682">
        <v>99.99</v>
      </c>
      <c r="N77" s="37">
        <v>1</v>
      </c>
      <c r="O77" s="281">
        <v>5</v>
      </c>
      <c r="P77" s="271" t="s">
        <v>2311</v>
      </c>
      <c r="Q77" s="151" t="s">
        <v>2316</v>
      </c>
      <c r="R77" s="151" t="s">
        <v>2315</v>
      </c>
      <c r="S77" s="152" t="s">
        <v>2314</v>
      </c>
      <c r="T77" s="46">
        <f>26.9/16</f>
        <v>1.6812499999999999</v>
      </c>
      <c r="U77" s="35">
        <v>5.75</v>
      </c>
      <c r="V77" s="35">
        <v>1.75</v>
      </c>
      <c r="W77" s="72">
        <v>16</v>
      </c>
      <c r="X77" s="94" t="s">
        <v>66</v>
      </c>
      <c r="Y77" s="93" t="s">
        <v>66</v>
      </c>
      <c r="Z77" s="93" t="s">
        <v>66</v>
      </c>
      <c r="AA77" s="291" t="s">
        <v>66</v>
      </c>
      <c r="AB77" s="46">
        <v>8.91</v>
      </c>
      <c r="AC77" s="35">
        <v>15</v>
      </c>
      <c r="AD77" s="35">
        <v>8.5</v>
      </c>
      <c r="AE77" s="72">
        <v>6.25</v>
      </c>
      <c r="AF77" s="44">
        <f t="shared" si="10"/>
        <v>0.4611545138888889</v>
      </c>
      <c r="AG77" s="86" t="s">
        <v>2502</v>
      </c>
      <c r="AH77" s="86" t="s">
        <v>524</v>
      </c>
      <c r="AI77" s="86" t="s">
        <v>2503</v>
      </c>
      <c r="AJ77" s="86" t="s">
        <v>527</v>
      </c>
      <c r="AK77" s="86" t="s">
        <v>528</v>
      </c>
      <c r="AL77" s="86" t="s">
        <v>2498</v>
      </c>
      <c r="AM77" s="86" t="s">
        <v>2507</v>
      </c>
      <c r="AN77" s="86" t="s">
        <v>2504</v>
      </c>
      <c r="AO77" s="87" t="s">
        <v>2501</v>
      </c>
      <c r="AP77" s="20" t="s">
        <v>1839</v>
      </c>
      <c r="AQ77" s="16" t="s">
        <v>937</v>
      </c>
    </row>
    <row r="78" spans="1:43" s="16" customFormat="1" x14ac:dyDescent="0.25">
      <c r="A78" s="20" t="s">
        <v>865</v>
      </c>
      <c r="B78" s="20"/>
      <c r="C78" s="4" t="s">
        <v>473</v>
      </c>
      <c r="D78" s="4" t="s">
        <v>649</v>
      </c>
      <c r="E78" s="4" t="s">
        <v>2312</v>
      </c>
      <c r="F78" s="20" t="s">
        <v>930</v>
      </c>
      <c r="G78" s="20" t="s">
        <v>2265</v>
      </c>
      <c r="H78" s="5" t="s">
        <v>516</v>
      </c>
      <c r="I78" s="20"/>
      <c r="J78" s="290"/>
      <c r="K78" s="39" t="s">
        <v>523</v>
      </c>
      <c r="L78" s="38" t="s">
        <v>327</v>
      </c>
      <c r="M78" s="682">
        <v>39.99</v>
      </c>
      <c r="N78" s="37">
        <v>1</v>
      </c>
      <c r="O78" s="281">
        <v>15</v>
      </c>
      <c r="P78" s="46">
        <f>CONVERT(0.141,"kg","lbm")</f>
        <v>0.31085178968067734</v>
      </c>
      <c r="Q78" s="549">
        <f>CONVERT(220,"mm","in")</f>
        <v>8.6614173228346463</v>
      </c>
      <c r="R78" s="549">
        <f>CONVERT(109,"mm","in")</f>
        <v>4.2913385826771657</v>
      </c>
      <c r="S78" s="550">
        <v>2.5</v>
      </c>
      <c r="T78" s="46">
        <v>0.31085178968067739</v>
      </c>
      <c r="U78" s="35">
        <v>10</v>
      </c>
      <c r="V78" s="35">
        <v>1.5</v>
      </c>
      <c r="W78" s="72">
        <v>1.5</v>
      </c>
      <c r="X78" s="94" t="s">
        <v>66</v>
      </c>
      <c r="Y78" s="93" t="s">
        <v>66</v>
      </c>
      <c r="Z78" s="93" t="s">
        <v>66</v>
      </c>
      <c r="AA78" s="291" t="s">
        <v>66</v>
      </c>
      <c r="AB78" s="46">
        <v>5.0816551433614281</v>
      </c>
      <c r="AC78" s="35">
        <v>9.8125</v>
      </c>
      <c r="AD78" s="35">
        <v>5.25</v>
      </c>
      <c r="AE78" s="72">
        <v>10.25</v>
      </c>
      <c r="AF78" s="44">
        <f t="shared" si="10"/>
        <v>0.3055759006076389</v>
      </c>
      <c r="AG78" s="86" t="s">
        <v>2502</v>
      </c>
      <c r="AH78" s="86" t="s">
        <v>524</v>
      </c>
      <c r="AI78" s="86" t="s">
        <v>2505</v>
      </c>
      <c r="AJ78" s="86" t="s">
        <v>2506</v>
      </c>
      <c r="AK78" s="20"/>
      <c r="AL78" s="20"/>
      <c r="AM78" s="20"/>
      <c r="AN78" s="20"/>
      <c r="AO78" s="20" t="s">
        <v>2508</v>
      </c>
      <c r="AP78" s="20" t="s">
        <v>1839</v>
      </c>
      <c r="AQ78" s="16" t="s">
        <v>937</v>
      </c>
    </row>
    <row r="79" spans="1:43" s="16" customFormat="1" x14ac:dyDescent="0.25">
      <c r="A79" s="20" t="s">
        <v>865</v>
      </c>
      <c r="B79" s="20"/>
      <c r="C79" s="4" t="s">
        <v>2714</v>
      </c>
      <c r="D79" s="4" t="s">
        <v>649</v>
      </c>
      <c r="E79" s="4" t="s">
        <v>2312</v>
      </c>
      <c r="F79" s="20" t="s">
        <v>51</v>
      </c>
      <c r="G79" s="20" t="s">
        <v>2265</v>
      </c>
      <c r="H79" s="5" t="s">
        <v>2715</v>
      </c>
      <c r="I79" s="20"/>
      <c r="J79" s="290"/>
      <c r="K79" s="39" t="s">
        <v>523</v>
      </c>
      <c r="L79" s="38" t="s">
        <v>327</v>
      </c>
      <c r="M79" s="682">
        <v>39.99</v>
      </c>
      <c r="N79" s="37">
        <v>1</v>
      </c>
      <c r="O79" s="281">
        <v>15</v>
      </c>
      <c r="P79" s="46">
        <f>CONVERT(0.141,"kg","lbm")</f>
        <v>0.31085178968067734</v>
      </c>
      <c r="Q79" s="549">
        <f>CONVERT(220,"mm","in")</f>
        <v>8.6614173228346463</v>
      </c>
      <c r="R79" s="549">
        <f>CONVERT(109,"mm","in")</f>
        <v>4.2913385826771657</v>
      </c>
      <c r="S79" s="550">
        <v>2.5</v>
      </c>
      <c r="T79" s="46">
        <v>0.31085178968067739</v>
      </c>
      <c r="U79" s="35">
        <v>10</v>
      </c>
      <c r="V79" s="35">
        <v>1.5</v>
      </c>
      <c r="W79" s="72">
        <v>1.5</v>
      </c>
      <c r="X79" s="94" t="s">
        <v>66</v>
      </c>
      <c r="Y79" s="93" t="s">
        <v>66</v>
      </c>
      <c r="Z79" s="93" t="s">
        <v>66</v>
      </c>
      <c r="AA79" s="291" t="s">
        <v>66</v>
      </c>
      <c r="AB79" s="46">
        <v>5.0816551433614281</v>
      </c>
      <c r="AC79" s="35">
        <v>9.8125</v>
      </c>
      <c r="AD79" s="35">
        <v>5.25</v>
      </c>
      <c r="AE79" s="72">
        <v>10.25</v>
      </c>
      <c r="AF79" s="44">
        <f t="shared" si="10"/>
        <v>0.3055759006076389</v>
      </c>
      <c r="AG79" s="86" t="s">
        <v>2502</v>
      </c>
      <c r="AH79" s="86" t="s">
        <v>524</v>
      </c>
      <c r="AI79" s="86" t="s">
        <v>2503</v>
      </c>
      <c r="AJ79" s="86" t="s">
        <v>2506</v>
      </c>
      <c r="AK79" s="20"/>
      <c r="AL79" s="20"/>
      <c r="AM79" s="20"/>
      <c r="AN79" s="20"/>
      <c r="AO79" s="20" t="s">
        <v>2716</v>
      </c>
      <c r="AP79" s="20" t="s">
        <v>1839</v>
      </c>
      <c r="AQ79" s="16" t="s">
        <v>937</v>
      </c>
    </row>
    <row r="80" spans="1:43" s="20" customFormat="1" ht="15.6" x14ac:dyDescent="0.3">
      <c r="A80" s="108" t="s">
        <v>439</v>
      </c>
      <c r="B80" s="108"/>
      <c r="C80" s="35"/>
      <c r="D80" s="35"/>
      <c r="E80" s="36"/>
      <c r="H80" s="265"/>
      <c r="K80" s="38"/>
      <c r="L80" s="38"/>
      <c r="M80" s="678"/>
      <c r="N80" s="37"/>
      <c r="O80" s="228"/>
      <c r="P80" s="46"/>
      <c r="Q80" s="35"/>
      <c r="R80" s="35"/>
      <c r="S80" s="72"/>
      <c r="T80" s="46"/>
      <c r="U80" s="35"/>
      <c r="V80" s="35"/>
      <c r="W80" s="72"/>
      <c r="X80" s="46"/>
      <c r="Y80" s="35"/>
      <c r="Z80" s="35"/>
      <c r="AA80" s="72"/>
      <c r="AB80" s="46"/>
      <c r="AC80" s="35"/>
      <c r="AD80" s="35"/>
      <c r="AE80" s="72"/>
      <c r="AF80" s="46"/>
      <c r="AI80" s="86"/>
      <c r="AJ80" s="86"/>
    </row>
    <row r="81" spans="1:43" s="16" customFormat="1" x14ac:dyDescent="0.25">
      <c r="A81" s="20" t="s">
        <v>865</v>
      </c>
      <c r="B81" s="20"/>
      <c r="C81" s="4" t="s">
        <v>1077</v>
      </c>
      <c r="D81" s="4" t="s">
        <v>649</v>
      </c>
      <c r="E81" s="4" t="s">
        <v>2317</v>
      </c>
      <c r="F81" s="20" t="s">
        <v>2318</v>
      </c>
      <c r="G81" s="20" t="s">
        <v>2539</v>
      </c>
      <c r="H81" s="5" t="s">
        <v>1079</v>
      </c>
      <c r="I81" s="20"/>
      <c r="J81" s="290"/>
      <c r="K81" s="39" t="s">
        <v>523</v>
      </c>
      <c r="L81" s="38" t="s">
        <v>327</v>
      </c>
      <c r="M81" s="686">
        <v>24.99</v>
      </c>
      <c r="N81" s="37">
        <v>1</v>
      </c>
      <c r="O81" s="281">
        <v>5</v>
      </c>
      <c r="P81" s="46">
        <f>CONVERT(0.093,"kg","lbm")</f>
        <v>0.20502990383193614</v>
      </c>
      <c r="Q81" s="549">
        <f>CONVERT(204,"mm","in")</f>
        <v>8.0314960629921259</v>
      </c>
      <c r="R81" s="549">
        <f>CONVERT(90,"mm","in")</f>
        <v>3.5433070866141736</v>
      </c>
      <c r="S81" s="550">
        <v>1.3</v>
      </c>
      <c r="T81" s="134"/>
      <c r="U81" s="135"/>
      <c r="V81" s="135"/>
      <c r="W81" s="136"/>
      <c r="X81" s="94" t="s">
        <v>66</v>
      </c>
      <c r="Y81" s="93" t="s">
        <v>66</v>
      </c>
      <c r="Z81" s="93" t="s">
        <v>66</v>
      </c>
      <c r="AA81" s="291" t="s">
        <v>66</v>
      </c>
      <c r="AB81" s="46">
        <v>1.9</v>
      </c>
      <c r="AC81" s="35">
        <v>12</v>
      </c>
      <c r="AD81" s="35">
        <v>5.75</v>
      </c>
      <c r="AE81" s="72">
        <v>5.75</v>
      </c>
      <c r="AF81" s="44"/>
      <c r="AG81" s="86" t="s">
        <v>2545</v>
      </c>
      <c r="AH81" s="86" t="s">
        <v>2458</v>
      </c>
      <c r="AI81" s="39" t="s">
        <v>2411</v>
      </c>
      <c r="AJ81" s="86" t="s">
        <v>2543</v>
      </c>
      <c r="AL81" s="86"/>
      <c r="AM81" s="86"/>
      <c r="AN81" s="86"/>
      <c r="AO81" s="86" t="s">
        <v>2544</v>
      </c>
      <c r="AP81" s="20" t="s">
        <v>1839</v>
      </c>
      <c r="AQ81" s="16" t="s">
        <v>937</v>
      </c>
    </row>
    <row r="82" spans="1:43" s="16" customFormat="1" x14ac:dyDescent="0.25">
      <c r="A82" s="20" t="s">
        <v>865</v>
      </c>
      <c r="B82" s="20"/>
      <c r="C82" s="4" t="s">
        <v>1076</v>
      </c>
      <c r="D82" s="4" t="s">
        <v>649</v>
      </c>
      <c r="E82" s="578" t="s">
        <v>676</v>
      </c>
      <c r="F82" s="20" t="s">
        <v>2318</v>
      </c>
      <c r="G82" s="20" t="s">
        <v>2539</v>
      </c>
      <c r="H82" s="5" t="s">
        <v>1078</v>
      </c>
      <c r="I82" s="20"/>
      <c r="J82" s="290"/>
      <c r="K82" s="39" t="s">
        <v>523</v>
      </c>
      <c r="L82" s="38" t="s">
        <v>327</v>
      </c>
      <c r="M82" s="686">
        <v>24.99</v>
      </c>
      <c r="N82" s="37">
        <v>1</v>
      </c>
      <c r="O82" s="281">
        <v>5</v>
      </c>
      <c r="P82" s="46">
        <f>CONVERT(0.104,"kg","lbm")</f>
        <v>0.22928075267227266</v>
      </c>
      <c r="Q82" s="549">
        <f>CONVERT(214,"mm","in")</f>
        <v>8.4251968503937</v>
      </c>
      <c r="R82" s="549">
        <f>CONVERT(98,"mm","in")</f>
        <v>3.8582677165354329</v>
      </c>
      <c r="S82" s="550">
        <v>2</v>
      </c>
      <c r="T82" s="134"/>
      <c r="U82" s="135"/>
      <c r="V82" s="135"/>
      <c r="W82" s="136"/>
      <c r="X82" s="94" t="s">
        <v>66</v>
      </c>
      <c r="Y82" s="93" t="s">
        <v>66</v>
      </c>
      <c r="Z82" s="93" t="s">
        <v>66</v>
      </c>
      <c r="AA82" s="291" t="s">
        <v>66</v>
      </c>
      <c r="AB82" s="46">
        <v>2</v>
      </c>
      <c r="AC82" s="35">
        <v>12</v>
      </c>
      <c r="AD82" s="35">
        <v>5.75</v>
      </c>
      <c r="AE82" s="72">
        <v>5.75</v>
      </c>
      <c r="AF82" s="44"/>
      <c r="AG82" s="86" t="s">
        <v>2547</v>
      </c>
      <c r="AH82" s="86" t="s">
        <v>2458</v>
      </c>
      <c r="AI82" s="39" t="s">
        <v>2411</v>
      </c>
      <c r="AJ82" s="86" t="s">
        <v>2548</v>
      </c>
      <c r="AK82" s="86"/>
      <c r="AL82" s="86"/>
      <c r="AM82" s="86"/>
      <c r="AN82" s="86"/>
      <c r="AO82" s="86" t="s">
        <v>2546</v>
      </c>
      <c r="AP82" s="20" t="s">
        <v>1839</v>
      </c>
      <c r="AQ82" s="16" t="s">
        <v>937</v>
      </c>
    </row>
    <row r="83" spans="1:43" s="16" customFormat="1" x14ac:dyDescent="0.25">
      <c r="A83" s="20" t="s">
        <v>865</v>
      </c>
      <c r="B83" s="20"/>
      <c r="C83" s="4" t="s">
        <v>480</v>
      </c>
      <c r="D83" s="4" t="s">
        <v>649</v>
      </c>
      <c r="E83" s="4" t="s">
        <v>2319</v>
      </c>
      <c r="F83" s="20" t="s">
        <v>2318</v>
      </c>
      <c r="G83" s="20" t="s">
        <v>2539</v>
      </c>
      <c r="H83" s="5" t="s">
        <v>519</v>
      </c>
      <c r="I83" s="20"/>
      <c r="J83" s="290"/>
      <c r="K83" s="39" t="s">
        <v>523</v>
      </c>
      <c r="L83" s="38" t="s">
        <v>327</v>
      </c>
      <c r="M83" s="682">
        <v>34.99</v>
      </c>
      <c r="N83" s="37">
        <v>1</v>
      </c>
      <c r="O83" s="281">
        <v>5</v>
      </c>
      <c r="P83" s="46">
        <f>CONVERT(0.099,"kg","lbm")</f>
        <v>0.21825763956302879</v>
      </c>
      <c r="Q83" s="549">
        <f>CONVERT(270,"mm","in")</f>
        <v>10.62992125984252</v>
      </c>
      <c r="R83" s="549">
        <f>CONVERT(155,"mm","in")</f>
        <v>6.1023622047244102</v>
      </c>
      <c r="S83" s="550">
        <v>1.9</v>
      </c>
      <c r="T83" s="46">
        <v>0.35</v>
      </c>
      <c r="U83" s="35">
        <v>13.5</v>
      </c>
      <c r="V83" s="35">
        <v>5.0999999999999996</v>
      </c>
      <c r="W83" s="72">
        <v>2</v>
      </c>
      <c r="X83" s="94" t="s">
        <v>66</v>
      </c>
      <c r="Y83" s="93" t="s">
        <v>66</v>
      </c>
      <c r="Z83" s="93" t="s">
        <v>66</v>
      </c>
      <c r="AA83" s="291" t="s">
        <v>66</v>
      </c>
      <c r="AB83" s="46">
        <v>2.4</v>
      </c>
      <c r="AC83" s="35">
        <v>14</v>
      </c>
      <c r="AD83" s="35">
        <v>9.5</v>
      </c>
      <c r="AE83" s="72">
        <v>4</v>
      </c>
      <c r="AF83" s="44">
        <f>AC83*AD83*AE83/(12^3)</f>
        <v>0.30787037037037035</v>
      </c>
      <c r="AG83" s="86" t="s">
        <v>2549</v>
      </c>
      <c r="AH83" s="85" t="s">
        <v>2458</v>
      </c>
      <c r="AI83" s="86" t="s">
        <v>2550</v>
      </c>
      <c r="AJ83" s="86" t="s">
        <v>2551</v>
      </c>
      <c r="AK83" s="86"/>
      <c r="AL83" s="86"/>
      <c r="AM83" s="86"/>
      <c r="AN83" s="86"/>
      <c r="AO83" s="86" t="s">
        <v>2552</v>
      </c>
      <c r="AP83" s="20" t="s">
        <v>1839</v>
      </c>
      <c r="AQ83" s="16" t="s">
        <v>937</v>
      </c>
    </row>
    <row r="84" spans="1:43" s="16" customFormat="1" x14ac:dyDescent="0.25">
      <c r="A84" s="20" t="s">
        <v>865</v>
      </c>
      <c r="B84" s="20"/>
      <c r="C84" s="4" t="s">
        <v>481</v>
      </c>
      <c r="D84" s="4" t="s">
        <v>649</v>
      </c>
      <c r="E84" s="4" t="s">
        <v>675</v>
      </c>
      <c r="F84" s="20" t="s">
        <v>2318</v>
      </c>
      <c r="G84" s="20" t="s">
        <v>2539</v>
      </c>
      <c r="H84" s="5" t="s">
        <v>520</v>
      </c>
      <c r="I84" s="20"/>
      <c r="J84" s="290"/>
      <c r="K84" s="39" t="s">
        <v>523</v>
      </c>
      <c r="L84" s="38" t="s">
        <v>327</v>
      </c>
      <c r="M84" s="682">
        <v>34.99</v>
      </c>
      <c r="N84" s="37">
        <v>1</v>
      </c>
      <c r="O84" s="281">
        <v>5</v>
      </c>
      <c r="P84" s="46">
        <f>CONVERT(0.115,"kg","lbm")</f>
        <v>0.25353160151260923</v>
      </c>
      <c r="Q84" s="549">
        <f>CONVERT(265,"mm","in")</f>
        <v>10.433070866141732</v>
      </c>
      <c r="R84" s="549">
        <f>CONVERT(150,"mm","in")</f>
        <v>5.9055118110236222</v>
      </c>
      <c r="S84" s="550">
        <v>2</v>
      </c>
      <c r="T84" s="46">
        <v>0.42</v>
      </c>
      <c r="U84" s="35">
        <v>13.5</v>
      </c>
      <c r="V84" s="35">
        <v>5.0999999999999996</v>
      </c>
      <c r="W84" s="72">
        <v>2</v>
      </c>
      <c r="X84" s="94" t="s">
        <v>66</v>
      </c>
      <c r="Y84" s="93" t="s">
        <v>66</v>
      </c>
      <c r="Z84" s="93" t="s">
        <v>66</v>
      </c>
      <c r="AA84" s="291" t="s">
        <v>66</v>
      </c>
      <c r="AB84" s="46">
        <v>2.75</v>
      </c>
      <c r="AC84" s="35">
        <v>14.25</v>
      </c>
      <c r="AD84" s="35">
        <v>9</v>
      </c>
      <c r="AE84" s="72">
        <v>4</v>
      </c>
      <c r="AF84" s="44">
        <f>AC84*AD84*AE84/(12^3)</f>
        <v>0.296875</v>
      </c>
      <c r="AG84" s="86" t="s">
        <v>2553</v>
      </c>
      <c r="AH84" s="85" t="s">
        <v>2458</v>
      </c>
      <c r="AI84" s="86" t="s">
        <v>2550</v>
      </c>
      <c r="AJ84" s="86" t="s">
        <v>2554</v>
      </c>
      <c r="AK84" s="86"/>
      <c r="AL84" s="86"/>
      <c r="AM84" s="86"/>
      <c r="AN84" s="86"/>
      <c r="AO84" s="86" t="s">
        <v>2559</v>
      </c>
      <c r="AP84" s="20" t="s">
        <v>1839</v>
      </c>
      <c r="AQ84" s="16" t="s">
        <v>937</v>
      </c>
    </row>
    <row r="85" spans="1:43" s="16" customFormat="1" x14ac:dyDescent="0.25">
      <c r="A85" s="20" t="s">
        <v>865</v>
      </c>
      <c r="B85" s="20"/>
      <c r="C85" s="4" t="s">
        <v>926</v>
      </c>
      <c r="D85" s="4" t="s">
        <v>649</v>
      </c>
      <c r="E85" s="4" t="s">
        <v>2320</v>
      </c>
      <c r="F85" s="20" t="s">
        <v>111</v>
      </c>
      <c r="G85" s="20" t="s">
        <v>2265</v>
      </c>
      <c r="H85" s="5" t="s">
        <v>927</v>
      </c>
      <c r="I85" s="20"/>
      <c r="J85" s="290"/>
      <c r="K85" s="39" t="s">
        <v>523</v>
      </c>
      <c r="L85" s="38" t="s">
        <v>327</v>
      </c>
      <c r="M85" s="682">
        <v>22.99</v>
      </c>
      <c r="N85" s="37">
        <v>1</v>
      </c>
      <c r="O85" s="281">
        <v>15</v>
      </c>
      <c r="P85" s="46">
        <f>CONVERT(0.0934,"kg","lbm")</f>
        <v>0.20591175288067565</v>
      </c>
      <c r="Q85" s="549">
        <f>CONVERT(198,"mm","in")</f>
        <v>7.7952755905511815</v>
      </c>
      <c r="R85" s="549">
        <f>CONVERT(91,"mm","in")</f>
        <v>3.5826771653543306</v>
      </c>
      <c r="S85" s="550">
        <v>2</v>
      </c>
      <c r="T85" s="46">
        <v>0.21384839431933125</v>
      </c>
      <c r="U85" s="35">
        <v>8.75</v>
      </c>
      <c r="V85" s="35">
        <v>2</v>
      </c>
      <c r="W85" s="72">
        <v>1.1499999999999999</v>
      </c>
      <c r="X85" s="94" t="s">
        <v>66</v>
      </c>
      <c r="Y85" s="93" t="s">
        <v>66</v>
      </c>
      <c r="Z85" s="93" t="s">
        <v>66</v>
      </c>
      <c r="AA85" s="291" t="s">
        <v>66</v>
      </c>
      <c r="AB85" s="46">
        <v>4.5999999999999996</v>
      </c>
      <c r="AC85" s="35">
        <v>9.75</v>
      </c>
      <c r="AD85" s="35">
        <v>5.25</v>
      </c>
      <c r="AE85" s="72">
        <v>10.25</v>
      </c>
      <c r="AF85" s="44">
        <f>AC85*AD85*AE85/(12^3)</f>
        <v>0.30362955729166669</v>
      </c>
      <c r="AG85" s="86" t="s">
        <v>2555</v>
      </c>
      <c r="AH85" s="86" t="s">
        <v>2556</v>
      </c>
      <c r="AI85" s="86" t="s">
        <v>2557</v>
      </c>
      <c r="AJ85" s="579" t="s">
        <v>2489</v>
      </c>
      <c r="AK85" s="86" t="s">
        <v>2558</v>
      </c>
      <c r="AL85" s="20"/>
      <c r="AM85" s="20"/>
      <c r="AN85" s="20"/>
      <c r="AO85" s="86" t="s">
        <v>2560</v>
      </c>
      <c r="AP85" s="20" t="s">
        <v>1839</v>
      </c>
      <c r="AQ85" s="16" t="s">
        <v>937</v>
      </c>
    </row>
    <row r="86" spans="1:43" s="20" customFormat="1" ht="15.6" x14ac:dyDescent="0.3">
      <c r="A86" s="108" t="s">
        <v>2267</v>
      </c>
      <c r="B86" s="108"/>
      <c r="C86" s="35"/>
      <c r="D86" s="35"/>
      <c r="E86" s="36"/>
      <c r="H86" s="265"/>
      <c r="K86" s="38"/>
      <c r="L86" s="38"/>
      <c r="M86" s="678"/>
      <c r="N86" s="37"/>
      <c r="O86" s="228"/>
      <c r="P86" s="46"/>
      <c r="Q86" s="35"/>
      <c r="R86" s="35"/>
      <c r="S86" s="72"/>
      <c r="T86" s="46"/>
      <c r="U86" s="35"/>
      <c r="V86" s="35"/>
      <c r="W86" s="72"/>
      <c r="X86" s="46"/>
      <c r="Y86" s="35"/>
      <c r="Z86" s="35"/>
      <c r="AA86" s="72"/>
      <c r="AB86" s="46"/>
      <c r="AC86" s="35"/>
      <c r="AD86" s="35"/>
      <c r="AE86" s="72"/>
      <c r="AF86" s="46"/>
    </row>
    <row r="87" spans="1:43" s="410" customFormat="1" ht="12.75" customHeight="1" x14ac:dyDescent="0.25">
      <c r="A87" s="410" t="s">
        <v>865</v>
      </c>
      <c r="C87" s="526" t="s">
        <v>840</v>
      </c>
      <c r="D87" s="526" t="s">
        <v>649</v>
      </c>
      <c r="E87" s="526" t="s">
        <v>1489</v>
      </c>
      <c r="F87" s="410" t="s">
        <v>2360</v>
      </c>
      <c r="G87" s="410" t="s">
        <v>1488</v>
      </c>
      <c r="H87" s="527" t="s">
        <v>864</v>
      </c>
      <c r="K87" s="421" t="s">
        <v>2308</v>
      </c>
      <c r="L87" s="415" t="s">
        <v>327</v>
      </c>
      <c r="M87" s="683">
        <v>299.99</v>
      </c>
      <c r="N87" s="417">
        <v>1</v>
      </c>
      <c r="O87" s="528">
        <v>1</v>
      </c>
      <c r="P87" s="419">
        <f>CONVERT(0.25,"kg","lbm")</f>
        <v>0.55115565546219392</v>
      </c>
      <c r="Q87" s="551">
        <f>CONVERT(200,"mm","in")</f>
        <v>7.8740157480314963</v>
      </c>
      <c r="R87" s="551">
        <f>CONVERT(95,"mm","in")</f>
        <v>3.7401574803149606</v>
      </c>
      <c r="S87" s="552">
        <v>3</v>
      </c>
      <c r="T87" s="419">
        <v>0.55115565546219392</v>
      </c>
      <c r="U87" s="412">
        <v>12</v>
      </c>
      <c r="V87" s="412">
        <v>6</v>
      </c>
      <c r="W87" s="420">
        <v>1.5</v>
      </c>
      <c r="X87" s="529" t="s">
        <v>66</v>
      </c>
      <c r="Y87" s="473" t="s">
        <v>66</v>
      </c>
      <c r="Z87" s="473" t="s">
        <v>66</v>
      </c>
      <c r="AA87" s="474" t="s">
        <v>66</v>
      </c>
      <c r="AB87" s="529">
        <v>0.55000000000000004</v>
      </c>
      <c r="AC87" s="473">
        <v>10</v>
      </c>
      <c r="AD87" s="473">
        <v>2.25</v>
      </c>
      <c r="AE87" s="474">
        <v>1.875</v>
      </c>
      <c r="AF87" s="419"/>
      <c r="AG87" s="530" t="s">
        <v>2510</v>
      </c>
      <c r="AH87" s="530" t="s">
        <v>2509</v>
      </c>
      <c r="AI87" s="530" t="s">
        <v>2512</v>
      </c>
      <c r="AJ87" s="530" t="s">
        <v>2513</v>
      </c>
      <c r="AK87" s="530"/>
      <c r="AL87" s="530"/>
      <c r="AM87" s="530"/>
      <c r="AN87" s="530"/>
      <c r="AO87" s="597" t="s">
        <v>2514</v>
      </c>
      <c r="AP87" s="410" t="s">
        <v>1839</v>
      </c>
      <c r="AQ87" s="410" t="s">
        <v>937</v>
      </c>
    </row>
    <row r="88" spans="1:43" s="410" customFormat="1" ht="12.75" customHeight="1" x14ac:dyDescent="0.25">
      <c r="A88" s="410" t="s">
        <v>865</v>
      </c>
      <c r="C88" s="526" t="s">
        <v>477</v>
      </c>
      <c r="D88" s="526" t="s">
        <v>522</v>
      </c>
      <c r="E88" s="526" t="s">
        <v>674</v>
      </c>
      <c r="F88" s="410" t="s">
        <v>2360</v>
      </c>
      <c r="G88" s="410" t="s">
        <v>1488</v>
      </c>
      <c r="H88" s="596">
        <v>7391846012351</v>
      </c>
      <c r="K88" s="421" t="s">
        <v>2308</v>
      </c>
      <c r="L88" s="415" t="s">
        <v>327</v>
      </c>
      <c r="M88" s="683">
        <v>129.99</v>
      </c>
      <c r="N88" s="417">
        <v>1</v>
      </c>
      <c r="O88" s="528">
        <v>1</v>
      </c>
      <c r="P88" s="419">
        <f>CONVERT(0.18,"kg","lbm")</f>
        <v>0.39683207193277964</v>
      </c>
      <c r="Q88" s="551">
        <f>CONVERT(205,"mm","in")</f>
        <v>8.0708661417322833</v>
      </c>
      <c r="R88" s="551">
        <f>CONVERT(101,"mm","in")</f>
        <v>3.9763779527559056</v>
      </c>
      <c r="S88" s="552">
        <v>2.7</v>
      </c>
      <c r="T88" s="419">
        <v>0.39683207193277964</v>
      </c>
      <c r="U88" s="412">
        <v>8.19</v>
      </c>
      <c r="V88" s="412">
        <v>6</v>
      </c>
      <c r="W88" s="420">
        <v>1.5</v>
      </c>
      <c r="X88" s="529" t="s">
        <v>66</v>
      </c>
      <c r="Y88" s="473" t="s">
        <v>66</v>
      </c>
      <c r="Z88" s="473" t="s">
        <v>66</v>
      </c>
      <c r="AA88" s="474" t="s">
        <v>66</v>
      </c>
      <c r="AB88" s="529" t="s">
        <v>279</v>
      </c>
      <c r="AC88" s="473" t="s">
        <v>279</v>
      </c>
      <c r="AD88" s="473" t="s">
        <v>279</v>
      </c>
      <c r="AE88" s="474" t="s">
        <v>279</v>
      </c>
      <c r="AF88" s="419"/>
      <c r="AG88" s="530" t="s">
        <v>2515</v>
      </c>
      <c r="AH88" s="530" t="s">
        <v>2516</v>
      </c>
      <c r="AI88" s="530" t="s">
        <v>2512</v>
      </c>
      <c r="AJ88" s="530" t="s">
        <v>2517</v>
      </c>
      <c r="AK88" s="597"/>
      <c r="AL88" s="597"/>
      <c r="AM88" s="597"/>
      <c r="AN88" s="597"/>
      <c r="AO88" s="530" t="s">
        <v>2518</v>
      </c>
      <c r="AP88" s="410" t="s">
        <v>1839</v>
      </c>
      <c r="AQ88" s="410" t="s">
        <v>937</v>
      </c>
    </row>
    <row r="89" spans="1:43" s="16" customFormat="1" x14ac:dyDescent="0.25">
      <c r="A89" s="20" t="s">
        <v>865</v>
      </c>
      <c r="B89" s="20"/>
      <c r="C89" s="42" t="s">
        <v>1614</v>
      </c>
      <c r="D89" s="4" t="s">
        <v>649</v>
      </c>
      <c r="E89" s="284" t="s">
        <v>1494</v>
      </c>
      <c r="F89" s="20" t="s">
        <v>3204</v>
      </c>
      <c r="G89" s="20" t="s">
        <v>1485</v>
      </c>
      <c r="H89" s="5" t="s">
        <v>2321</v>
      </c>
      <c r="I89" s="20"/>
      <c r="J89" s="290"/>
      <c r="K89" s="39" t="s">
        <v>523</v>
      </c>
      <c r="L89" s="38" t="s">
        <v>327</v>
      </c>
      <c r="M89" s="687">
        <v>29.990000000000002</v>
      </c>
      <c r="N89" s="37">
        <v>1</v>
      </c>
      <c r="O89" s="281">
        <v>100</v>
      </c>
      <c r="P89" s="46">
        <f>CONVERT(0.055,"kg","lbm")</f>
        <v>0.12125424420168267</v>
      </c>
      <c r="Q89" s="549">
        <f>CONVERT(141,"mm","in")</f>
        <v>5.5511811023622046</v>
      </c>
      <c r="R89" s="549">
        <f>CONVERT(62,"mm","in")</f>
        <v>2.4409448818897634</v>
      </c>
      <c r="S89" s="550">
        <v>1.6</v>
      </c>
      <c r="T89" s="46">
        <v>0.52910942924370619</v>
      </c>
      <c r="U89" s="35">
        <v>6</v>
      </c>
      <c r="V89" s="35">
        <v>2.5</v>
      </c>
      <c r="W89" s="72">
        <v>1.1499999999999999</v>
      </c>
      <c r="X89" s="94" t="s">
        <v>66</v>
      </c>
      <c r="Y89" s="93" t="s">
        <v>66</v>
      </c>
      <c r="Z89" s="93" t="s">
        <v>66</v>
      </c>
      <c r="AA89" s="291" t="s">
        <v>66</v>
      </c>
      <c r="AB89" s="94">
        <v>11.45</v>
      </c>
      <c r="AC89" s="93">
        <v>15.25</v>
      </c>
      <c r="AD89" s="93">
        <v>8.5</v>
      </c>
      <c r="AE89" s="291">
        <v>6</v>
      </c>
      <c r="AF89" s="44"/>
      <c r="AG89" s="86" t="s">
        <v>2519</v>
      </c>
      <c r="AH89" s="577" t="s">
        <v>2520</v>
      </c>
      <c r="AI89" s="577" t="s">
        <v>2521</v>
      </c>
      <c r="AJ89" s="577" t="s">
        <v>2522</v>
      </c>
      <c r="AK89" s="16" t="s">
        <v>3205</v>
      </c>
      <c r="AL89" s="86" t="s">
        <v>2524</v>
      </c>
      <c r="AM89" s="577"/>
      <c r="AN89" s="86"/>
      <c r="AO89" s="86" t="s">
        <v>2523</v>
      </c>
      <c r="AP89" s="20" t="s">
        <v>1839</v>
      </c>
      <c r="AQ89" s="16" t="s">
        <v>937</v>
      </c>
    </row>
    <row r="90" spans="1:43" s="20" customFormat="1" x14ac:dyDescent="0.25">
      <c r="A90" s="20" t="s">
        <v>865</v>
      </c>
      <c r="C90" s="4" t="s">
        <v>841</v>
      </c>
      <c r="D90" s="4" t="s">
        <v>649</v>
      </c>
      <c r="E90" s="4" t="s">
        <v>1490</v>
      </c>
      <c r="F90" s="20" t="s">
        <v>111</v>
      </c>
      <c r="G90" s="20" t="s">
        <v>1485</v>
      </c>
      <c r="H90" s="114">
        <v>7391846011989</v>
      </c>
      <c r="J90" s="290"/>
      <c r="K90" s="39" t="s">
        <v>523</v>
      </c>
      <c r="L90" s="38" t="s">
        <v>327</v>
      </c>
      <c r="M90" s="682">
        <v>29.99</v>
      </c>
      <c r="N90" s="37">
        <v>1</v>
      </c>
      <c r="O90" s="281">
        <v>10</v>
      </c>
      <c r="P90" s="46">
        <f>CONVERT(0.111,"kg","lbm")</f>
        <v>0.24471311102521412</v>
      </c>
      <c r="Q90" s="549">
        <f>CONVERT(180,"mm","in")</f>
        <v>7.0866141732283472</v>
      </c>
      <c r="R90" s="549">
        <f>CONVERT(66,"mm","in")</f>
        <v>2.5984251968503935</v>
      </c>
      <c r="S90" s="550">
        <v>2</v>
      </c>
      <c r="T90" s="46">
        <v>0.22376919611765073</v>
      </c>
      <c r="U90" s="35">
        <v>9</v>
      </c>
      <c r="V90" s="35">
        <v>3</v>
      </c>
      <c r="W90" s="72">
        <v>1</v>
      </c>
      <c r="X90" s="94" t="s">
        <v>66</v>
      </c>
      <c r="Y90" s="93" t="s">
        <v>66</v>
      </c>
      <c r="Z90" s="93" t="s">
        <v>66</v>
      </c>
      <c r="AA90" s="291" t="s">
        <v>66</v>
      </c>
      <c r="AB90" s="94">
        <v>2.4</v>
      </c>
      <c r="AC90" s="93">
        <v>14.5</v>
      </c>
      <c r="AD90" s="93">
        <v>5</v>
      </c>
      <c r="AE90" s="291">
        <v>3</v>
      </c>
      <c r="AF90" s="44">
        <f>AC90*AD90*AE90/(12^3)</f>
        <v>0.12586805555555555</v>
      </c>
      <c r="AG90" s="86" t="s">
        <v>2525</v>
      </c>
      <c r="AH90" s="86" t="s">
        <v>729</v>
      </c>
      <c r="AI90" s="577" t="s">
        <v>2526</v>
      </c>
      <c r="AJ90" s="86" t="s">
        <v>2527</v>
      </c>
      <c r="AO90" s="86" t="s">
        <v>2528</v>
      </c>
      <c r="AP90" s="20" t="s">
        <v>1839</v>
      </c>
      <c r="AQ90" s="16" t="s">
        <v>937</v>
      </c>
    </row>
    <row r="91" spans="1:43" s="16" customFormat="1" x14ac:dyDescent="0.25">
      <c r="A91" s="20" t="s">
        <v>865</v>
      </c>
      <c r="B91" s="20"/>
      <c r="C91" s="4" t="s">
        <v>478</v>
      </c>
      <c r="D91" s="4" t="s">
        <v>649</v>
      </c>
      <c r="E91" s="4" t="s">
        <v>2322</v>
      </c>
      <c r="F91" s="20" t="s">
        <v>1795</v>
      </c>
      <c r="G91" s="20" t="s">
        <v>1507</v>
      </c>
      <c r="H91" s="114">
        <v>7391846013860</v>
      </c>
      <c r="I91" s="20"/>
      <c r="J91" s="20"/>
      <c r="K91" s="39" t="s">
        <v>523</v>
      </c>
      <c r="L91" s="38" t="s">
        <v>327</v>
      </c>
      <c r="M91" s="686">
        <v>79.989999999999995</v>
      </c>
      <c r="N91" s="37">
        <v>1</v>
      </c>
      <c r="O91" s="281">
        <v>5</v>
      </c>
      <c r="P91" s="46">
        <f>CONVERT(0.337,"kg","lbm")</f>
        <v>0.74295782356303741</v>
      </c>
      <c r="Q91" s="35" t="s">
        <v>2536</v>
      </c>
      <c r="R91" s="151" t="s">
        <v>2323</v>
      </c>
      <c r="S91" s="152" t="s">
        <v>1566</v>
      </c>
      <c r="T91" s="46">
        <f>17/16</f>
        <v>1.0625</v>
      </c>
      <c r="U91" s="35">
        <v>4</v>
      </c>
      <c r="V91" s="35">
        <v>5</v>
      </c>
      <c r="W91" s="72">
        <v>1.25</v>
      </c>
      <c r="X91" s="94" t="s">
        <v>66</v>
      </c>
      <c r="Y91" s="93" t="s">
        <v>66</v>
      </c>
      <c r="Z91" s="93" t="s">
        <v>66</v>
      </c>
      <c r="AA91" s="291" t="s">
        <v>66</v>
      </c>
      <c r="AB91" s="46">
        <v>5.7</v>
      </c>
      <c r="AC91" s="35">
        <v>15.5</v>
      </c>
      <c r="AD91" s="35">
        <v>8.5</v>
      </c>
      <c r="AE91" s="72">
        <v>6.25</v>
      </c>
      <c r="AF91" s="44">
        <f>AC91*AD91*AE91/(12^3)</f>
        <v>0.47652633101851855</v>
      </c>
      <c r="AG91" s="86" t="s">
        <v>2529</v>
      </c>
      <c r="AH91" s="20" t="s">
        <v>2530</v>
      </c>
      <c r="AI91" s="86" t="s">
        <v>2532</v>
      </c>
      <c r="AJ91" s="39" t="s">
        <v>2531</v>
      </c>
      <c r="AK91" s="20" t="s">
        <v>2534</v>
      </c>
      <c r="AL91" s="86" t="s">
        <v>2535</v>
      </c>
      <c r="AM91" s="86" t="s">
        <v>2538</v>
      </c>
      <c r="AN91" s="86" t="s">
        <v>2537</v>
      </c>
      <c r="AO91" s="86" t="s">
        <v>2533</v>
      </c>
      <c r="AP91" s="20" t="s">
        <v>1839</v>
      </c>
      <c r="AQ91" s="16" t="s">
        <v>937</v>
      </c>
    </row>
    <row r="92" spans="1:43" s="20" customFormat="1" ht="15.75" customHeight="1" x14ac:dyDescent="0.3">
      <c r="A92" s="523" t="s">
        <v>2268</v>
      </c>
      <c r="B92" s="532"/>
      <c r="C92" s="532"/>
      <c r="D92" s="35"/>
      <c r="E92" s="36"/>
      <c r="H92" s="265"/>
      <c r="K92" s="38"/>
      <c r="L92" s="38"/>
      <c r="M92" s="678"/>
      <c r="N92" s="37"/>
      <c r="O92" s="228"/>
      <c r="P92" s="46"/>
      <c r="Q92" s="35"/>
      <c r="R92" s="35"/>
      <c r="S92" s="72"/>
      <c r="T92" s="46"/>
      <c r="U92" s="35"/>
      <c r="V92" s="35"/>
      <c r="W92" s="72"/>
      <c r="X92" s="46"/>
      <c r="Y92" s="35"/>
      <c r="Z92" s="35"/>
      <c r="AA92" s="72"/>
      <c r="AB92" s="46"/>
      <c r="AC92" s="35"/>
      <c r="AD92" s="35"/>
      <c r="AE92" s="72"/>
      <c r="AF92" s="46"/>
    </row>
    <row r="93" spans="1:43" s="20" customFormat="1" ht="15.6" x14ac:dyDescent="0.3">
      <c r="A93" s="20" t="s">
        <v>865</v>
      </c>
      <c r="B93" s="699"/>
      <c r="C93" s="4" t="s">
        <v>2911</v>
      </c>
      <c r="D93" s="35" t="s">
        <v>621</v>
      </c>
      <c r="E93" s="36" t="s">
        <v>2912</v>
      </c>
      <c r="F93" s="20" t="s">
        <v>2307</v>
      </c>
      <c r="G93" s="20" t="s">
        <v>1485</v>
      </c>
      <c r="H93" s="265" t="s">
        <v>2913</v>
      </c>
      <c r="K93" s="38" t="s">
        <v>2308</v>
      </c>
      <c r="L93" s="38" t="s">
        <v>327</v>
      </c>
      <c r="M93" s="678">
        <v>59.99</v>
      </c>
      <c r="N93" s="37">
        <v>1</v>
      </c>
      <c r="O93" s="228">
        <v>20</v>
      </c>
      <c r="P93" s="46">
        <f>4.6/16</f>
        <v>0.28749999999999998</v>
      </c>
      <c r="Q93" s="35">
        <v>7.1</v>
      </c>
      <c r="R93" s="35">
        <v>3.3</v>
      </c>
      <c r="S93" s="72">
        <v>2.7</v>
      </c>
      <c r="T93" s="46">
        <v>0.3</v>
      </c>
      <c r="U93" s="35">
        <v>10</v>
      </c>
      <c r="V93" s="35">
        <v>2.5</v>
      </c>
      <c r="W93" s="72">
        <v>2</v>
      </c>
      <c r="X93" s="94" t="s">
        <v>66</v>
      </c>
      <c r="Y93" s="93" t="s">
        <v>66</v>
      </c>
      <c r="Z93" s="93" t="s">
        <v>66</v>
      </c>
      <c r="AA93" s="291" t="s">
        <v>66</v>
      </c>
      <c r="AB93" s="46">
        <v>6.85</v>
      </c>
      <c r="AC93" s="35">
        <v>12</v>
      </c>
      <c r="AD93" s="35">
        <v>10.5</v>
      </c>
      <c r="AE93" s="72">
        <v>8.5</v>
      </c>
      <c r="AF93" s="46"/>
    </row>
    <row r="94" spans="1:43" s="16" customFormat="1" x14ac:dyDescent="0.25">
      <c r="A94" s="20" t="s">
        <v>865</v>
      </c>
      <c r="B94" s="20"/>
      <c r="C94" s="4" t="s">
        <v>450</v>
      </c>
      <c r="D94" s="4" t="s">
        <v>621</v>
      </c>
      <c r="E94" s="4" t="s">
        <v>1498</v>
      </c>
      <c r="F94" s="20" t="s">
        <v>2324</v>
      </c>
      <c r="G94" s="20" t="s">
        <v>1485</v>
      </c>
      <c r="H94" s="5" t="s">
        <v>493</v>
      </c>
      <c r="I94" s="20"/>
      <c r="J94" s="20"/>
      <c r="K94" s="39" t="s">
        <v>2308</v>
      </c>
      <c r="L94" s="38" t="s">
        <v>327</v>
      </c>
      <c r="M94" s="685">
        <v>24.99</v>
      </c>
      <c r="N94" s="37">
        <v>1</v>
      </c>
      <c r="O94" s="281">
        <v>10</v>
      </c>
      <c r="P94" s="46">
        <f>CONVERT(0.05,"kg","lbm")</f>
        <v>0.11023113109243879</v>
      </c>
      <c r="Q94" s="549">
        <f>CONVERT(170,"mm","in")</f>
        <v>6.6929133858267713</v>
      </c>
      <c r="R94" s="549">
        <f>CONVERT(74,"mm","in")</f>
        <v>2.9133858267716537</v>
      </c>
      <c r="S94" s="550">
        <v>2.5</v>
      </c>
      <c r="T94" s="46">
        <v>0.11023113109243879</v>
      </c>
      <c r="U94" s="35">
        <v>7.875</v>
      </c>
      <c r="V94" s="35">
        <v>1.125</v>
      </c>
      <c r="W94" s="72">
        <v>0.875</v>
      </c>
      <c r="X94" s="94" t="s">
        <v>66</v>
      </c>
      <c r="Y94" s="93" t="s">
        <v>66</v>
      </c>
      <c r="Z94" s="93" t="s">
        <v>66</v>
      </c>
      <c r="AA94" s="291" t="s">
        <v>66</v>
      </c>
      <c r="AB94" s="46">
        <v>1.2015193289075827</v>
      </c>
      <c r="AC94" s="35">
        <v>8.75</v>
      </c>
      <c r="AD94" s="35">
        <v>5</v>
      </c>
      <c r="AE94" s="72">
        <v>2</v>
      </c>
      <c r="AF94" s="44">
        <f>AC94*AD94*AE94/(12^3)</f>
        <v>5.0636574074074077E-2</v>
      </c>
      <c r="AG94" s="86" t="s">
        <v>2602</v>
      </c>
      <c r="AH94" s="20" t="s">
        <v>2603</v>
      </c>
      <c r="AI94" s="86" t="s">
        <v>2604</v>
      </c>
      <c r="AJ94" s="86" t="s">
        <v>2605</v>
      </c>
      <c r="AK94" s="20"/>
      <c r="AL94" s="20"/>
      <c r="AM94" s="20"/>
      <c r="AN94" s="20"/>
      <c r="AO94" s="86" t="s">
        <v>561</v>
      </c>
      <c r="AP94" s="20" t="s">
        <v>1839</v>
      </c>
      <c r="AQ94" s="16" t="s">
        <v>937</v>
      </c>
    </row>
    <row r="95" spans="1:43" s="16" customFormat="1" x14ac:dyDescent="0.25">
      <c r="A95" s="20" t="s">
        <v>865</v>
      </c>
      <c r="B95" s="20"/>
      <c r="C95" s="4" t="s">
        <v>448</v>
      </c>
      <c r="D95" s="4" t="s">
        <v>621</v>
      </c>
      <c r="E95" s="4" t="s">
        <v>1496</v>
      </c>
      <c r="F95" s="20" t="s">
        <v>2324</v>
      </c>
      <c r="G95" s="20" t="s">
        <v>1485</v>
      </c>
      <c r="H95" s="5" t="s">
        <v>491</v>
      </c>
      <c r="I95" s="20"/>
      <c r="J95" s="290"/>
      <c r="K95" s="39" t="s">
        <v>2308</v>
      </c>
      <c r="L95" s="38" t="s">
        <v>327</v>
      </c>
      <c r="M95" s="685">
        <v>19.989999999999998</v>
      </c>
      <c r="N95" s="37">
        <v>1</v>
      </c>
      <c r="O95" s="281">
        <v>10</v>
      </c>
      <c r="P95" s="46">
        <f>CONVERT(0.0784,"kg","lbm")</f>
        <v>0.17284241355294402</v>
      </c>
      <c r="Q95" s="549">
        <f>CONVERT(200,"mm","in")</f>
        <v>7.8740157480314963</v>
      </c>
      <c r="R95" s="549">
        <f>CONVERT(98,"mm","in")</f>
        <v>3.8582677165354329</v>
      </c>
      <c r="S95" s="550">
        <v>2</v>
      </c>
      <c r="T95" s="46">
        <v>0.17284241355294402</v>
      </c>
      <c r="U95" s="35">
        <v>8.875</v>
      </c>
      <c r="V95" s="35">
        <v>1.25</v>
      </c>
      <c r="W95" s="72">
        <v>1.25</v>
      </c>
      <c r="X95" s="94" t="s">
        <v>66</v>
      </c>
      <c r="Y95" s="93" t="s">
        <v>66</v>
      </c>
      <c r="Z95" s="93" t="s">
        <v>66</v>
      </c>
      <c r="AA95" s="291" t="s">
        <v>66</v>
      </c>
      <c r="AB95" s="46">
        <v>1.8849523416807032</v>
      </c>
      <c r="AC95" s="35">
        <v>10.5</v>
      </c>
      <c r="AD95" s="35">
        <v>8.75</v>
      </c>
      <c r="AE95" s="72">
        <v>1.875</v>
      </c>
      <c r="AF95" s="44">
        <f>AC95*AD95*AE95/(12^3)</f>
        <v>9.9690755208333329E-2</v>
      </c>
      <c r="AG95" s="86" t="s">
        <v>529</v>
      </c>
      <c r="AH95" s="20" t="s">
        <v>557</v>
      </c>
      <c r="AI95" s="86" t="s">
        <v>530</v>
      </c>
      <c r="AJ95" s="39" t="s">
        <v>535</v>
      </c>
      <c r="AK95" s="86" t="s">
        <v>555</v>
      </c>
      <c r="AL95" s="86"/>
      <c r="AM95" s="86"/>
      <c r="AN95" s="86"/>
      <c r="AO95" s="86" t="s">
        <v>556</v>
      </c>
      <c r="AP95" s="20" t="s">
        <v>1839</v>
      </c>
      <c r="AQ95" s="16" t="s">
        <v>937</v>
      </c>
    </row>
    <row r="96" spans="1:43" s="16" customFormat="1" x14ac:dyDescent="0.25">
      <c r="A96" s="20" t="s">
        <v>865</v>
      </c>
      <c r="B96" s="20"/>
      <c r="C96" s="4" t="s">
        <v>449</v>
      </c>
      <c r="D96" s="4" t="s">
        <v>621</v>
      </c>
      <c r="E96" s="4" t="s">
        <v>1497</v>
      </c>
      <c r="F96" s="20" t="s">
        <v>2324</v>
      </c>
      <c r="G96" s="20" t="s">
        <v>1485</v>
      </c>
      <c r="H96" s="5" t="s">
        <v>492</v>
      </c>
      <c r="I96" s="20"/>
      <c r="J96" s="290"/>
      <c r="K96" s="39" t="s">
        <v>2308</v>
      </c>
      <c r="L96" s="38" t="s">
        <v>327</v>
      </c>
      <c r="M96" s="685">
        <v>22.99</v>
      </c>
      <c r="N96" s="37">
        <v>1</v>
      </c>
      <c r="O96" s="281">
        <v>10</v>
      </c>
      <c r="P96" s="46">
        <f>CONVERT(0.0857,"kg","lbm")</f>
        <v>0.18893615869244007</v>
      </c>
      <c r="Q96" s="549">
        <f>CONVERT(210,"mm","in")</f>
        <v>8.2677165354330704</v>
      </c>
      <c r="R96" s="549">
        <f>CONVERT(106,"mm","in")</f>
        <v>4.1732283464566926</v>
      </c>
      <c r="S96" s="550">
        <v>2.5</v>
      </c>
      <c r="T96" s="46">
        <v>0.1889361586924401</v>
      </c>
      <c r="U96" s="35">
        <v>9</v>
      </c>
      <c r="V96" s="35">
        <v>1.25</v>
      </c>
      <c r="W96" s="72">
        <v>1.125</v>
      </c>
      <c r="X96" s="94" t="s">
        <v>66</v>
      </c>
      <c r="Y96" s="93" t="s">
        <v>66</v>
      </c>
      <c r="Z96" s="93" t="s">
        <v>66</v>
      </c>
      <c r="AA96" s="291" t="s">
        <v>66</v>
      </c>
      <c r="AB96" s="46">
        <v>2.0613221514286053</v>
      </c>
      <c r="AC96" s="35">
        <v>10.5</v>
      </c>
      <c r="AD96" s="35">
        <v>8.75</v>
      </c>
      <c r="AE96" s="72">
        <v>1.875</v>
      </c>
      <c r="AF96" s="44">
        <f>AC96*AD96*AE96/(12^3)</f>
        <v>9.9690755208333329E-2</v>
      </c>
      <c r="AG96" s="86" t="s">
        <v>529</v>
      </c>
      <c r="AH96" s="20" t="s">
        <v>557</v>
      </c>
      <c r="AI96" s="86" t="s">
        <v>530</v>
      </c>
      <c r="AJ96" s="39" t="s">
        <v>535</v>
      </c>
      <c r="AK96" s="20" t="s">
        <v>558</v>
      </c>
      <c r="AL96" s="20"/>
      <c r="AM96" s="20"/>
      <c r="AN96" s="20"/>
      <c r="AO96" s="86" t="s">
        <v>556</v>
      </c>
      <c r="AP96" s="20" t="s">
        <v>1839</v>
      </c>
      <c r="AQ96" s="16" t="s">
        <v>937</v>
      </c>
    </row>
    <row r="97" spans="1:43" s="410" customFormat="1" x14ac:dyDescent="0.25">
      <c r="A97" s="410" t="s">
        <v>865</v>
      </c>
      <c r="C97" s="598" t="s">
        <v>938</v>
      </c>
      <c r="D97" s="526" t="s">
        <v>621</v>
      </c>
      <c r="E97" s="599" t="s">
        <v>1497</v>
      </c>
      <c r="F97" s="410" t="s">
        <v>2324</v>
      </c>
      <c r="G97" s="410" t="s">
        <v>1507</v>
      </c>
      <c r="H97" s="514">
        <v>7391846002093</v>
      </c>
      <c r="K97" s="421" t="s">
        <v>2308</v>
      </c>
      <c r="L97" s="415" t="s">
        <v>327</v>
      </c>
      <c r="M97" s="688">
        <v>22.99</v>
      </c>
      <c r="N97" s="417">
        <v>1</v>
      </c>
      <c r="O97" s="528">
        <v>5</v>
      </c>
      <c r="P97" s="419">
        <f>CONVERT(0.0857,"kg","lbm")</f>
        <v>0.18893615869244007</v>
      </c>
      <c r="Q97" s="551">
        <f>CONVERT(210,"mm","in")</f>
        <v>8.2677165354330704</v>
      </c>
      <c r="R97" s="551">
        <f>CONVERT(106,"mm","in")</f>
        <v>4.1732283464566926</v>
      </c>
      <c r="S97" s="552">
        <v>2.5</v>
      </c>
      <c r="T97" s="419">
        <v>0.30864716705882861</v>
      </c>
      <c r="U97" s="412">
        <v>5.5</v>
      </c>
      <c r="V97" s="412">
        <v>1.25</v>
      </c>
      <c r="W97" s="420">
        <v>11.8125</v>
      </c>
      <c r="X97" s="529" t="s">
        <v>66</v>
      </c>
      <c r="Y97" s="473" t="s">
        <v>66</v>
      </c>
      <c r="Z97" s="473" t="s">
        <v>66</v>
      </c>
      <c r="AA97" s="474" t="s">
        <v>66</v>
      </c>
      <c r="AB97" s="419">
        <v>1.7416518712605329</v>
      </c>
      <c r="AC97" s="412">
        <v>12.0625</v>
      </c>
      <c r="AD97" s="412">
        <v>5.75</v>
      </c>
      <c r="AE97" s="420">
        <v>5.75</v>
      </c>
      <c r="AF97" s="419"/>
      <c r="AG97" s="530" t="s">
        <v>529</v>
      </c>
      <c r="AH97" s="410" t="s">
        <v>557</v>
      </c>
      <c r="AI97" s="530" t="s">
        <v>530</v>
      </c>
      <c r="AJ97" s="421" t="s">
        <v>535</v>
      </c>
      <c r="AK97" s="410" t="s">
        <v>558</v>
      </c>
      <c r="AO97" s="530" t="s">
        <v>556</v>
      </c>
      <c r="AP97" s="410" t="s">
        <v>1839</v>
      </c>
      <c r="AQ97" s="410" t="s">
        <v>937</v>
      </c>
    </row>
    <row r="98" spans="1:43" s="16" customFormat="1" x14ac:dyDescent="0.25">
      <c r="A98" s="20" t="s">
        <v>865</v>
      </c>
      <c r="B98" s="20"/>
      <c r="C98" s="4" t="s">
        <v>451</v>
      </c>
      <c r="D98" s="4" t="s">
        <v>621</v>
      </c>
      <c r="E98" s="4" t="s">
        <v>1499</v>
      </c>
      <c r="F98" s="20" t="s">
        <v>2324</v>
      </c>
      <c r="G98" s="20" t="s">
        <v>1485</v>
      </c>
      <c r="H98" s="5" t="s">
        <v>494</v>
      </c>
      <c r="I98" s="20"/>
      <c r="J98" s="290"/>
      <c r="K98" s="39" t="s">
        <v>2308</v>
      </c>
      <c r="L98" s="38" t="s">
        <v>327</v>
      </c>
      <c r="M98" s="685">
        <v>29.99</v>
      </c>
      <c r="N98" s="37">
        <v>1</v>
      </c>
      <c r="O98" s="281">
        <v>10</v>
      </c>
      <c r="P98" s="46">
        <f>CONVERT(0.127,"kg","lbm")</f>
        <v>0.27998707297479453</v>
      </c>
      <c r="Q98" s="549">
        <f>CONVERT(265,"mm","in")</f>
        <v>10.433070866141732</v>
      </c>
      <c r="R98" s="549">
        <f>CONVERT(150,"mm","in")</f>
        <v>5.9055118110236222</v>
      </c>
      <c r="S98" s="550">
        <v>2.5</v>
      </c>
      <c r="T98" s="46">
        <v>0.27998707297479453</v>
      </c>
      <c r="U98" s="35">
        <v>11.125</v>
      </c>
      <c r="V98" s="35">
        <v>1.3125</v>
      </c>
      <c r="W98" s="72">
        <v>1.1875</v>
      </c>
      <c r="X98" s="94" t="s">
        <v>66</v>
      </c>
      <c r="Y98" s="93" t="s">
        <v>66</v>
      </c>
      <c r="Z98" s="93" t="s">
        <v>66</v>
      </c>
      <c r="AA98" s="291" t="s">
        <v>66</v>
      </c>
      <c r="AB98" s="46">
        <v>2.9872636526050913</v>
      </c>
      <c r="AC98" s="35">
        <v>14.25</v>
      </c>
      <c r="AD98" s="35">
        <v>5</v>
      </c>
      <c r="AE98" s="72">
        <v>2.625</v>
      </c>
      <c r="AF98" s="44">
        <f t="shared" ref="AF98:AF105" si="11">AC98*AD98*AE98/(12^3)</f>
        <v>0.10823567708333333</v>
      </c>
      <c r="AG98" s="86" t="s">
        <v>529</v>
      </c>
      <c r="AH98" s="20" t="s">
        <v>557</v>
      </c>
      <c r="AI98" s="86" t="s">
        <v>530</v>
      </c>
      <c r="AJ98" s="39" t="s">
        <v>535</v>
      </c>
      <c r="AK98" s="20" t="s">
        <v>559</v>
      </c>
      <c r="AL98" s="20"/>
      <c r="AM98" s="20"/>
      <c r="AN98" s="20"/>
      <c r="AO98" s="86" t="s">
        <v>560</v>
      </c>
      <c r="AP98" s="20" t="s">
        <v>1839</v>
      </c>
      <c r="AQ98" s="16" t="s">
        <v>937</v>
      </c>
    </row>
    <row r="99" spans="1:43" s="410" customFormat="1" x14ac:dyDescent="0.25">
      <c r="A99" s="410" t="s">
        <v>865</v>
      </c>
      <c r="C99" s="526" t="s">
        <v>447</v>
      </c>
      <c r="D99" s="526" t="s">
        <v>522</v>
      </c>
      <c r="E99" s="526" t="s">
        <v>668</v>
      </c>
      <c r="F99" s="410" t="s">
        <v>2307</v>
      </c>
      <c r="G99" s="410" t="s">
        <v>1485</v>
      </c>
      <c r="H99" s="527" t="s">
        <v>490</v>
      </c>
      <c r="K99" s="421" t="s">
        <v>2308</v>
      </c>
      <c r="L99" s="415" t="s">
        <v>327</v>
      </c>
      <c r="M99" s="688">
        <v>59.99</v>
      </c>
      <c r="N99" s="417">
        <v>1</v>
      </c>
      <c r="O99" s="528">
        <v>10</v>
      </c>
      <c r="P99" s="419">
        <f>CONVERT(0.0857,"kg","lbm")</f>
        <v>0.18893615869244007</v>
      </c>
      <c r="Q99" s="551">
        <f>CONVERT(198,"mm","in")</f>
        <v>7.7952755905511815</v>
      </c>
      <c r="R99" s="551">
        <f>CONVERT(99,"mm","in")</f>
        <v>3.8976377952755907</v>
      </c>
      <c r="S99" s="552">
        <v>2.7</v>
      </c>
      <c r="T99" s="419">
        <v>0.1889361586924401</v>
      </c>
      <c r="U99" s="412">
        <v>8.25</v>
      </c>
      <c r="V99" s="412">
        <v>1.0625</v>
      </c>
      <c r="W99" s="420">
        <v>1</v>
      </c>
      <c r="X99" s="529" t="s">
        <v>66</v>
      </c>
      <c r="Y99" s="473" t="s">
        <v>66</v>
      </c>
      <c r="Z99" s="473" t="s">
        <v>66</v>
      </c>
      <c r="AA99" s="474" t="s">
        <v>66</v>
      </c>
      <c r="AB99" s="419">
        <v>1.8518830023529715</v>
      </c>
      <c r="AC99" s="412">
        <v>9.25</v>
      </c>
      <c r="AD99" s="412">
        <v>3.875</v>
      </c>
      <c r="AE99" s="420">
        <v>3.125</v>
      </c>
      <c r="AF99" s="419">
        <f t="shared" si="11"/>
        <v>6.4821596498842587E-2</v>
      </c>
      <c r="AG99" s="530" t="s">
        <v>551</v>
      </c>
      <c r="AH99" s="410" t="s">
        <v>545</v>
      </c>
      <c r="AI99" s="530" t="s">
        <v>552</v>
      </c>
      <c r="AJ99" s="421" t="s">
        <v>535</v>
      </c>
      <c r="AK99" s="530" t="s">
        <v>553</v>
      </c>
      <c r="AL99" s="530"/>
      <c r="AM99" s="530"/>
      <c r="AN99" s="530"/>
      <c r="AO99" s="530" t="s">
        <v>554</v>
      </c>
      <c r="AP99" s="410" t="s">
        <v>1839</v>
      </c>
      <c r="AQ99" s="410" t="s">
        <v>937</v>
      </c>
    </row>
    <row r="100" spans="1:43" s="16" customFormat="1" x14ac:dyDescent="0.25">
      <c r="A100" s="20" t="s">
        <v>865</v>
      </c>
      <c r="B100" s="20"/>
      <c r="C100" s="4" t="s">
        <v>1027</v>
      </c>
      <c r="D100" s="4" t="s">
        <v>522</v>
      </c>
      <c r="E100" s="4" t="s">
        <v>1028</v>
      </c>
      <c r="F100" s="20" t="s">
        <v>2307</v>
      </c>
      <c r="G100" s="20" t="s">
        <v>1488</v>
      </c>
      <c r="H100" s="49">
        <v>7391846013068</v>
      </c>
      <c r="I100" s="20"/>
      <c r="J100" s="290"/>
      <c r="K100" s="39" t="s">
        <v>2308</v>
      </c>
      <c r="L100" s="38" t="s">
        <v>327</v>
      </c>
      <c r="M100" s="685">
        <v>99.99</v>
      </c>
      <c r="N100" s="37">
        <v>1</v>
      </c>
      <c r="O100" s="281">
        <v>1</v>
      </c>
      <c r="P100" s="46">
        <f>CONVERT(0.18,"kg","lbm")</f>
        <v>0.39683207193277964</v>
      </c>
      <c r="Q100" s="549">
        <f>CONVERT(198,"mm","in")</f>
        <v>7.7952755905511815</v>
      </c>
      <c r="R100" s="549">
        <f>CONVERT(99,"mm","in")</f>
        <v>3.8976377952755907</v>
      </c>
      <c r="S100" s="550">
        <v>2.7</v>
      </c>
      <c r="T100" s="46">
        <v>0.39683207193277964</v>
      </c>
      <c r="U100" s="135"/>
      <c r="V100" s="135"/>
      <c r="W100" s="136"/>
      <c r="X100" s="94" t="s">
        <v>66</v>
      </c>
      <c r="Y100" s="93" t="s">
        <v>66</v>
      </c>
      <c r="Z100" s="93" t="s">
        <v>66</v>
      </c>
      <c r="AA100" s="291" t="s">
        <v>66</v>
      </c>
      <c r="AB100" s="46">
        <v>0.35</v>
      </c>
      <c r="AC100" s="35">
        <v>10.375</v>
      </c>
      <c r="AD100" s="35">
        <v>2.25</v>
      </c>
      <c r="AE100" s="72">
        <v>2</v>
      </c>
      <c r="AF100" s="44">
        <f t="shared" si="11"/>
        <v>2.7018229166666668E-2</v>
      </c>
      <c r="AG100" s="569"/>
      <c r="AH100" s="290"/>
      <c r="AI100" s="569"/>
      <c r="AJ100" s="178"/>
      <c r="AK100" s="569"/>
      <c r="AL100" s="569"/>
      <c r="AM100" s="569"/>
      <c r="AN100" s="569"/>
      <c r="AO100" s="569"/>
      <c r="AP100" s="20" t="s">
        <v>1839</v>
      </c>
      <c r="AQ100" s="16" t="s">
        <v>937</v>
      </c>
    </row>
    <row r="101" spans="1:43" s="410" customFormat="1" x14ac:dyDescent="0.25">
      <c r="A101" s="410" t="s">
        <v>865</v>
      </c>
      <c r="C101" s="526" t="s">
        <v>452</v>
      </c>
      <c r="D101" s="526" t="s">
        <v>621</v>
      </c>
      <c r="E101" s="526" t="s">
        <v>2325</v>
      </c>
      <c r="F101" s="410" t="s">
        <v>2324</v>
      </c>
      <c r="G101" s="410" t="s">
        <v>1485</v>
      </c>
      <c r="H101" s="527" t="s">
        <v>495</v>
      </c>
      <c r="K101" s="421" t="s">
        <v>523</v>
      </c>
      <c r="L101" s="415" t="s">
        <v>327</v>
      </c>
      <c r="M101" s="688">
        <v>22.99</v>
      </c>
      <c r="N101" s="417">
        <v>1</v>
      </c>
      <c r="O101" s="528">
        <v>10</v>
      </c>
      <c r="P101" s="419">
        <f>CONVERT(0.082,"kg","lbm")</f>
        <v>0.18077905499159963</v>
      </c>
      <c r="Q101" s="551">
        <f>CONVERT(200,"mm","in")</f>
        <v>7.8740157480314963</v>
      </c>
      <c r="R101" s="551">
        <f>CONVERT(98,"mm","in")</f>
        <v>3.8582677165354329</v>
      </c>
      <c r="S101" s="552">
        <v>2</v>
      </c>
      <c r="T101" s="419" t="s">
        <v>1645</v>
      </c>
      <c r="U101" s="412">
        <v>8.875</v>
      </c>
      <c r="V101" s="412">
        <v>1.875</v>
      </c>
      <c r="W101" s="420">
        <v>1.25</v>
      </c>
      <c r="X101" s="529" t="s">
        <v>66</v>
      </c>
      <c r="Y101" s="473" t="s">
        <v>66</v>
      </c>
      <c r="Z101" s="473" t="s">
        <v>66</v>
      </c>
      <c r="AA101" s="474" t="s">
        <v>66</v>
      </c>
      <c r="AB101" s="419">
        <v>1.906998567899191</v>
      </c>
      <c r="AC101" s="412">
        <v>10.5</v>
      </c>
      <c r="AD101" s="412">
        <v>8.75</v>
      </c>
      <c r="AE101" s="420">
        <v>1.875</v>
      </c>
      <c r="AF101" s="419">
        <f t="shared" si="11"/>
        <v>9.9690755208333329E-2</v>
      </c>
      <c r="AG101" s="530" t="s">
        <v>563</v>
      </c>
      <c r="AH101" s="410" t="s">
        <v>557</v>
      </c>
      <c r="AI101" s="530" t="s">
        <v>530</v>
      </c>
      <c r="AJ101" s="421" t="s">
        <v>535</v>
      </c>
      <c r="AK101" s="410" t="s">
        <v>562</v>
      </c>
      <c r="AO101" s="530" t="s">
        <v>564</v>
      </c>
      <c r="AP101" s="410" t="s">
        <v>1839</v>
      </c>
      <c r="AQ101" s="410" t="s">
        <v>937</v>
      </c>
    </row>
    <row r="102" spans="1:43" s="16" customFormat="1" x14ac:dyDescent="0.25">
      <c r="A102" s="20" t="s">
        <v>865</v>
      </c>
      <c r="B102" s="20"/>
      <c r="C102" s="4" t="s">
        <v>453</v>
      </c>
      <c r="D102" s="4" t="s">
        <v>621</v>
      </c>
      <c r="E102" s="4" t="s">
        <v>2326</v>
      </c>
      <c r="F102" s="20" t="s">
        <v>2324</v>
      </c>
      <c r="G102" s="20" t="s">
        <v>1485</v>
      </c>
      <c r="H102" s="5" t="s">
        <v>496</v>
      </c>
      <c r="I102" s="20"/>
      <c r="J102" s="290"/>
      <c r="K102" s="39" t="s">
        <v>523</v>
      </c>
      <c r="L102" s="38" t="s">
        <v>327</v>
      </c>
      <c r="M102" s="685">
        <v>22.99</v>
      </c>
      <c r="N102" s="37">
        <v>1</v>
      </c>
      <c r="O102" s="281">
        <v>10</v>
      </c>
      <c r="P102" s="46">
        <f>CONVERT(0.077,"kg","lbm")</f>
        <v>0.16975594188235571</v>
      </c>
      <c r="Q102" s="549">
        <f>CONVERT(200,"mm","in")</f>
        <v>7.8740157480314963</v>
      </c>
      <c r="R102" s="549">
        <f>CONVERT(98,"mm","in")</f>
        <v>3.8582677165354329</v>
      </c>
      <c r="S102" s="550">
        <v>2</v>
      </c>
      <c r="T102" s="46">
        <v>0.16975594188235574</v>
      </c>
      <c r="U102" s="35">
        <v>8.875</v>
      </c>
      <c r="V102" s="35">
        <v>1.5</v>
      </c>
      <c r="W102" s="72">
        <v>1.25</v>
      </c>
      <c r="X102" s="94" t="s">
        <v>66</v>
      </c>
      <c r="Y102" s="93" t="s">
        <v>66</v>
      </c>
      <c r="Z102" s="93" t="s">
        <v>66</v>
      </c>
      <c r="AA102" s="291" t="s">
        <v>66</v>
      </c>
      <c r="AB102" s="46">
        <v>1.918021681008435</v>
      </c>
      <c r="AC102" s="35">
        <v>10.5</v>
      </c>
      <c r="AD102" s="35">
        <v>8.75</v>
      </c>
      <c r="AE102" s="72">
        <v>1.875</v>
      </c>
      <c r="AF102" s="44">
        <f t="shared" si="11"/>
        <v>9.9690755208333329E-2</v>
      </c>
      <c r="AG102" s="86" t="s">
        <v>567</v>
      </c>
      <c r="AH102" s="20" t="s">
        <v>557</v>
      </c>
      <c r="AI102" s="86" t="s">
        <v>530</v>
      </c>
      <c r="AJ102" s="39" t="s">
        <v>535</v>
      </c>
      <c r="AK102" s="595"/>
      <c r="AL102" s="595"/>
      <c r="AM102" s="595"/>
      <c r="AN102" s="595"/>
      <c r="AO102" s="86" t="s">
        <v>565</v>
      </c>
      <c r="AP102" s="20" t="s">
        <v>1839</v>
      </c>
      <c r="AQ102" s="16" t="s">
        <v>937</v>
      </c>
    </row>
    <row r="103" spans="1:43" s="16" customFormat="1" x14ac:dyDescent="0.25">
      <c r="A103" s="20" t="s">
        <v>865</v>
      </c>
      <c r="B103" s="20"/>
      <c r="C103" s="4" t="s">
        <v>454</v>
      </c>
      <c r="D103" s="4" t="s">
        <v>621</v>
      </c>
      <c r="E103" s="4" t="s">
        <v>2327</v>
      </c>
      <c r="F103" s="20" t="s">
        <v>2324</v>
      </c>
      <c r="G103" s="20" t="s">
        <v>1485</v>
      </c>
      <c r="H103" s="5" t="s">
        <v>497</v>
      </c>
      <c r="I103" s="20"/>
      <c r="J103" s="290"/>
      <c r="K103" s="39" t="s">
        <v>523</v>
      </c>
      <c r="L103" s="38" t="s">
        <v>327</v>
      </c>
      <c r="M103" s="685">
        <v>24.99</v>
      </c>
      <c r="N103" s="37">
        <v>1</v>
      </c>
      <c r="O103" s="281">
        <v>10</v>
      </c>
      <c r="P103" s="46">
        <f>CONVERT(0.078,"kg","lbm")</f>
        <v>0.17196056450420449</v>
      </c>
      <c r="Q103" s="549">
        <f>CONVERT(215,"mm","in")</f>
        <v>8.4645669291338574</v>
      </c>
      <c r="R103" s="549">
        <f>CONVERT(106,"mm","in")</f>
        <v>4.1732283464566926</v>
      </c>
      <c r="S103" s="550">
        <v>2.5</v>
      </c>
      <c r="T103" s="46" t="s">
        <v>1646</v>
      </c>
      <c r="U103" s="35">
        <v>9</v>
      </c>
      <c r="V103" s="35">
        <v>1.5</v>
      </c>
      <c r="W103" s="72">
        <v>1.125</v>
      </c>
      <c r="X103" s="94" t="s">
        <v>66</v>
      </c>
      <c r="Y103" s="93" t="s">
        <v>66</v>
      </c>
      <c r="Z103" s="93" t="s">
        <v>66</v>
      </c>
      <c r="AA103" s="291" t="s">
        <v>66</v>
      </c>
      <c r="AB103" s="46">
        <v>2.1495070563025562</v>
      </c>
      <c r="AC103" s="35">
        <v>10.5</v>
      </c>
      <c r="AD103" s="35">
        <v>8.75</v>
      </c>
      <c r="AE103" s="72">
        <v>1.875</v>
      </c>
      <c r="AF103" s="44">
        <f t="shared" si="11"/>
        <v>9.9690755208333329E-2</v>
      </c>
      <c r="AG103" s="86" t="s">
        <v>567</v>
      </c>
      <c r="AH103" s="20" t="s">
        <v>557</v>
      </c>
      <c r="AI103" s="86" t="s">
        <v>530</v>
      </c>
      <c r="AJ103" s="39" t="s">
        <v>535</v>
      </c>
      <c r="AK103" s="595" t="s">
        <v>566</v>
      </c>
      <c r="AL103" s="595"/>
      <c r="AM103" s="595"/>
      <c r="AN103" s="595"/>
      <c r="AO103" s="86" t="s">
        <v>565</v>
      </c>
      <c r="AP103" s="20" t="s">
        <v>1839</v>
      </c>
      <c r="AQ103" s="16" t="s">
        <v>937</v>
      </c>
    </row>
    <row r="104" spans="1:43" s="410" customFormat="1" x14ac:dyDescent="0.25">
      <c r="A104" s="410" t="s">
        <v>865</v>
      </c>
      <c r="C104" s="526" t="s">
        <v>446</v>
      </c>
      <c r="D104" s="526" t="s">
        <v>621</v>
      </c>
      <c r="E104" s="526" t="s">
        <v>1668</v>
      </c>
      <c r="F104" s="410" t="s">
        <v>2324</v>
      </c>
      <c r="G104" s="410" t="s">
        <v>1485</v>
      </c>
      <c r="H104" s="527" t="s">
        <v>489</v>
      </c>
      <c r="K104" s="421" t="s">
        <v>2328</v>
      </c>
      <c r="L104" s="415" t="s">
        <v>327</v>
      </c>
      <c r="M104" s="689">
        <v>39.99</v>
      </c>
      <c r="N104" s="417">
        <v>1</v>
      </c>
      <c r="O104" s="528">
        <v>10</v>
      </c>
      <c r="P104" s="419">
        <f>CONVERT(0.151,"kg","lbm")</f>
        <v>0.33289801589916512</v>
      </c>
      <c r="Q104" s="551">
        <f>CONVERT(359,"mm","in")</f>
        <v>14.133858267716537</v>
      </c>
      <c r="R104" s="551">
        <f>CONVERT(114,"mm","in")</f>
        <v>4.4881889763779528</v>
      </c>
      <c r="S104" s="552">
        <v>2.5</v>
      </c>
      <c r="T104" s="419">
        <v>0.33289801589916512</v>
      </c>
      <c r="U104" s="412">
        <v>14</v>
      </c>
      <c r="V104" s="412">
        <v>1.25</v>
      </c>
      <c r="W104" s="420">
        <v>1.25</v>
      </c>
      <c r="X104" s="529" t="s">
        <v>66</v>
      </c>
      <c r="Y104" s="473" t="s">
        <v>66</v>
      </c>
      <c r="Z104" s="473" t="s">
        <v>66</v>
      </c>
      <c r="AA104" s="474" t="s">
        <v>66</v>
      </c>
      <c r="AB104" s="419">
        <v>3.45</v>
      </c>
      <c r="AC104" s="412">
        <v>14.5</v>
      </c>
      <c r="AD104" s="412">
        <v>5</v>
      </c>
      <c r="AE104" s="420">
        <v>3</v>
      </c>
      <c r="AF104" s="419">
        <f t="shared" si="11"/>
        <v>0.12586805555555555</v>
      </c>
      <c r="AG104" s="530" t="s">
        <v>549</v>
      </c>
      <c r="AH104" s="410" t="s">
        <v>557</v>
      </c>
      <c r="AJ104" s="421" t="s">
        <v>599</v>
      </c>
      <c r="AK104" s="530" t="s">
        <v>550</v>
      </c>
      <c r="AL104" s="530"/>
      <c r="AM104" s="530"/>
      <c r="AN104" s="530"/>
      <c r="AO104" s="530" t="s">
        <v>548</v>
      </c>
      <c r="AP104" s="410" t="s">
        <v>1839</v>
      </c>
      <c r="AQ104" s="410" t="s">
        <v>937</v>
      </c>
    </row>
    <row r="105" spans="1:43" s="16" customFormat="1" x14ac:dyDescent="0.25">
      <c r="A105" s="20" t="s">
        <v>865</v>
      </c>
      <c r="B105" s="20"/>
      <c r="C105" s="4" t="s">
        <v>2264</v>
      </c>
      <c r="D105" s="4" t="s">
        <v>621</v>
      </c>
      <c r="E105" s="4" t="s">
        <v>1668</v>
      </c>
      <c r="F105" s="20" t="s">
        <v>2324</v>
      </c>
      <c r="G105" s="20" t="s">
        <v>1517</v>
      </c>
      <c r="H105" s="5" t="s">
        <v>2409</v>
      </c>
      <c r="I105" s="20"/>
      <c r="J105" s="5" t="s">
        <v>2410</v>
      </c>
      <c r="K105" s="39" t="s">
        <v>2328</v>
      </c>
      <c r="L105" s="38" t="s">
        <v>327</v>
      </c>
      <c r="M105" s="690">
        <v>39.99</v>
      </c>
      <c r="N105" s="37">
        <v>1</v>
      </c>
      <c r="O105" s="281">
        <v>12</v>
      </c>
      <c r="P105" s="46">
        <f>CONVERT(0.151,"kg","lbm")</f>
        <v>0.33289801589916512</v>
      </c>
      <c r="Q105" s="549">
        <f>CONVERT(359,"mm","in")</f>
        <v>14.133858267716537</v>
      </c>
      <c r="R105" s="549">
        <f>CONVERT(114,"mm","in")</f>
        <v>4.4881889763779528</v>
      </c>
      <c r="S105" s="550">
        <v>2.5</v>
      </c>
      <c r="T105" s="46"/>
      <c r="U105" s="135"/>
      <c r="V105" s="135"/>
      <c r="W105" s="136"/>
      <c r="X105" s="94"/>
      <c r="Y105" s="93"/>
      <c r="Z105" s="93"/>
      <c r="AA105" s="291"/>
      <c r="AB105" s="46">
        <v>6.05</v>
      </c>
      <c r="AC105" s="35">
        <v>15.25</v>
      </c>
      <c r="AD105" s="35">
        <v>8.75</v>
      </c>
      <c r="AE105" s="72">
        <v>6.75</v>
      </c>
      <c r="AF105" s="44">
        <f t="shared" si="11"/>
        <v>0.521240234375</v>
      </c>
      <c r="AG105" s="86" t="s">
        <v>549</v>
      </c>
      <c r="AH105" s="20" t="s">
        <v>557</v>
      </c>
      <c r="AI105" s="20"/>
      <c r="AJ105" s="39" t="s">
        <v>599</v>
      </c>
      <c r="AK105" s="86" t="s">
        <v>550</v>
      </c>
      <c r="AL105" s="86"/>
      <c r="AM105" s="86"/>
      <c r="AN105" s="86"/>
      <c r="AO105" s="86" t="s">
        <v>548</v>
      </c>
      <c r="AP105" s="20" t="s">
        <v>1839</v>
      </c>
      <c r="AQ105" s="16" t="s">
        <v>937</v>
      </c>
    </row>
    <row r="106" spans="1:43" s="20" customFormat="1" ht="15.6" x14ac:dyDescent="0.3">
      <c r="A106" s="523" t="s">
        <v>436</v>
      </c>
      <c r="B106" s="532"/>
      <c r="C106" s="532"/>
      <c r="D106" s="35"/>
      <c r="E106" s="36"/>
      <c r="H106" s="265"/>
      <c r="K106" s="38"/>
      <c r="L106" s="38"/>
      <c r="M106" s="678"/>
      <c r="N106" s="37"/>
      <c r="O106" s="228"/>
      <c r="P106" s="46"/>
      <c r="Q106" s="35"/>
      <c r="R106" s="35"/>
      <c r="S106" s="72"/>
      <c r="T106" s="46"/>
      <c r="U106" s="35"/>
      <c r="V106" s="35"/>
      <c r="W106" s="72"/>
      <c r="X106" s="46"/>
      <c r="Y106" s="35" t="s">
        <v>648</v>
      </c>
      <c r="Z106" s="35"/>
      <c r="AA106" s="72"/>
      <c r="AB106" s="46"/>
      <c r="AC106" s="35"/>
      <c r="AD106" s="35"/>
      <c r="AE106" s="72"/>
      <c r="AF106" s="46"/>
    </row>
    <row r="107" spans="1:43" s="20" customFormat="1" x14ac:dyDescent="0.25">
      <c r="A107" s="20" t="s">
        <v>865</v>
      </c>
      <c r="B107" s="754">
        <v>42887</v>
      </c>
      <c r="C107" s="298" t="s">
        <v>3210</v>
      </c>
      <c r="D107" s="4" t="s">
        <v>649</v>
      </c>
      <c r="E107" s="4" t="s">
        <v>3211</v>
      </c>
      <c r="F107" s="20" t="s">
        <v>3214</v>
      </c>
      <c r="G107" s="20" t="s">
        <v>2539</v>
      </c>
      <c r="H107" s="5"/>
      <c r="J107" s="290"/>
      <c r="K107" s="39" t="s">
        <v>2308</v>
      </c>
      <c r="L107" s="38" t="s">
        <v>327</v>
      </c>
      <c r="M107" s="794"/>
      <c r="N107" s="37">
        <v>1</v>
      </c>
      <c r="O107" s="281">
        <v>5</v>
      </c>
      <c r="P107" s="46">
        <v>0.11</v>
      </c>
      <c r="Q107" s="35">
        <v>6.54</v>
      </c>
      <c r="R107" s="35">
        <v>2.83</v>
      </c>
      <c r="S107" s="72">
        <v>2</v>
      </c>
      <c r="T107" s="46"/>
      <c r="U107" s="35"/>
      <c r="V107" s="35"/>
      <c r="W107" s="72"/>
      <c r="X107" s="94" t="s">
        <v>66</v>
      </c>
      <c r="Y107" s="93" t="s">
        <v>66</v>
      </c>
      <c r="Z107" s="93" t="s">
        <v>66</v>
      </c>
      <c r="AA107" s="291" t="s">
        <v>66</v>
      </c>
      <c r="AB107" s="46"/>
      <c r="AC107" s="35"/>
      <c r="AD107" s="35"/>
      <c r="AE107" s="72"/>
      <c r="AF107" s="46"/>
      <c r="AG107" s="86" t="s">
        <v>3212</v>
      </c>
      <c r="AH107" s="85" t="s">
        <v>3213</v>
      </c>
      <c r="AI107" s="86" t="s">
        <v>3215</v>
      </c>
      <c r="AJ107" s="39" t="s">
        <v>3216</v>
      </c>
      <c r="AK107" s="86"/>
      <c r="AL107" s="86"/>
      <c r="AM107" s="86"/>
      <c r="AN107" s="86"/>
      <c r="AO107" s="86" t="s">
        <v>3217</v>
      </c>
      <c r="AP107" s="20" t="s">
        <v>1839</v>
      </c>
      <c r="AQ107" s="16" t="s">
        <v>937</v>
      </c>
    </row>
    <row r="108" spans="1:43" s="701" customFormat="1" x14ac:dyDescent="0.25">
      <c r="A108" s="701" t="s">
        <v>865</v>
      </c>
      <c r="C108" s="701" t="s">
        <v>2925</v>
      </c>
      <c r="D108" s="701" t="s">
        <v>522</v>
      </c>
      <c r="E108" s="701" t="s">
        <v>2926</v>
      </c>
      <c r="F108" s="701" t="s">
        <v>2307</v>
      </c>
      <c r="G108" s="701" t="s">
        <v>1488</v>
      </c>
      <c r="H108" s="702">
        <v>7391846018117</v>
      </c>
      <c r="I108" s="751"/>
      <c r="J108" s="702">
        <v>7391846018582</v>
      </c>
      <c r="L108" s="701" t="s">
        <v>327</v>
      </c>
      <c r="M108" s="753">
        <v>34.99</v>
      </c>
      <c r="N108" s="701">
        <v>1</v>
      </c>
      <c r="O108" s="752">
        <v>5</v>
      </c>
      <c r="P108" s="701">
        <v>0.44</v>
      </c>
      <c r="Q108" s="701">
        <v>9.0500000000000007</v>
      </c>
      <c r="R108" s="701">
        <v>2.36</v>
      </c>
      <c r="S108" s="752">
        <v>2.7</v>
      </c>
      <c r="T108" s="701">
        <v>0.51</v>
      </c>
      <c r="U108" s="701">
        <v>8.26</v>
      </c>
      <c r="V108" s="701">
        <v>4.72</v>
      </c>
      <c r="W108" s="701">
        <v>1.9</v>
      </c>
      <c r="X108" s="94" t="s">
        <v>66</v>
      </c>
      <c r="Y108" s="93" t="s">
        <v>66</v>
      </c>
      <c r="Z108" s="93" t="s">
        <v>66</v>
      </c>
      <c r="AA108" s="291" t="s">
        <v>66</v>
      </c>
      <c r="AG108" s="701" t="s">
        <v>3102</v>
      </c>
      <c r="AH108" s="701" t="s">
        <v>3105</v>
      </c>
      <c r="AI108" s="701" t="s">
        <v>3103</v>
      </c>
      <c r="AJ108" s="701" t="s">
        <v>3104</v>
      </c>
      <c r="AO108" s="701" t="s">
        <v>3101</v>
      </c>
      <c r="AP108" s="20" t="s">
        <v>1839</v>
      </c>
      <c r="AQ108" s="16" t="s">
        <v>937</v>
      </c>
    </row>
    <row r="109" spans="1:43" s="16" customFormat="1" x14ac:dyDescent="0.25">
      <c r="A109" s="20" t="s">
        <v>865</v>
      </c>
      <c r="B109" s="20"/>
      <c r="C109" s="4" t="s">
        <v>455</v>
      </c>
      <c r="D109" s="4" t="s">
        <v>621</v>
      </c>
      <c r="E109" s="4" t="s">
        <v>2329</v>
      </c>
      <c r="F109" s="20" t="s">
        <v>111</v>
      </c>
      <c r="G109" s="20" t="s">
        <v>2265</v>
      </c>
      <c r="H109" s="5" t="s">
        <v>498</v>
      </c>
      <c r="I109" s="20"/>
      <c r="J109" s="290"/>
      <c r="K109" s="39" t="s">
        <v>523</v>
      </c>
      <c r="L109" s="38" t="s">
        <v>327</v>
      </c>
      <c r="M109" s="685">
        <v>17.989999999999998</v>
      </c>
      <c r="N109" s="37">
        <v>1</v>
      </c>
      <c r="O109" s="281">
        <v>15</v>
      </c>
      <c r="P109" s="35">
        <f>CONVERT(0.08,"kg","lbm")</f>
        <v>0.17636980974790206</v>
      </c>
      <c r="Q109" s="549">
        <f>CONVERT(190,"mm","in")</f>
        <v>7.4803149606299213</v>
      </c>
      <c r="R109" s="549">
        <f>CONVERT(80,"mm","in")</f>
        <v>3.1496062992125986</v>
      </c>
      <c r="S109" s="550">
        <v>2</v>
      </c>
      <c r="T109" s="46">
        <v>0.17636980974790206</v>
      </c>
      <c r="U109" s="35">
        <v>9</v>
      </c>
      <c r="V109" s="35">
        <v>1.4</v>
      </c>
      <c r="W109" s="72">
        <v>1.25</v>
      </c>
      <c r="X109" s="94" t="s">
        <v>66</v>
      </c>
      <c r="Y109" s="93" t="s">
        <v>66</v>
      </c>
      <c r="Z109" s="93" t="s">
        <v>66</v>
      </c>
      <c r="AA109" s="291" t="s">
        <v>66</v>
      </c>
      <c r="AB109" s="46">
        <v>3.1</v>
      </c>
      <c r="AC109" s="35">
        <v>9.75</v>
      </c>
      <c r="AD109" s="35">
        <v>5</v>
      </c>
      <c r="AE109" s="72">
        <v>10.25</v>
      </c>
      <c r="AF109" s="44">
        <f t="shared" ref="AF109:AF126" si="12">AC109*AD109*AE109/(12^3)</f>
        <v>0.28917100694444442</v>
      </c>
      <c r="AG109" s="86" t="s">
        <v>3185</v>
      </c>
      <c r="AH109" s="20" t="s">
        <v>539</v>
      </c>
      <c r="AI109" s="86" t="s">
        <v>541</v>
      </c>
      <c r="AJ109" s="39" t="s">
        <v>568</v>
      </c>
      <c r="AK109" s="20" t="s">
        <v>569</v>
      </c>
      <c r="AL109" s="20"/>
      <c r="AM109" s="20"/>
      <c r="AN109" s="20"/>
      <c r="AO109" s="86" t="s">
        <v>570</v>
      </c>
      <c r="AP109" s="20" t="s">
        <v>1839</v>
      </c>
      <c r="AQ109" s="16" t="s">
        <v>937</v>
      </c>
    </row>
    <row r="110" spans="1:43" s="16" customFormat="1" x14ac:dyDescent="0.25">
      <c r="A110" s="20" t="s">
        <v>865</v>
      </c>
      <c r="B110" s="20"/>
      <c r="C110" s="4" t="s">
        <v>3181</v>
      </c>
      <c r="D110" s="4" t="s">
        <v>649</v>
      </c>
      <c r="E110" t="s">
        <v>3182</v>
      </c>
      <c r="F110" s="20" t="s">
        <v>111</v>
      </c>
      <c r="G110" s="20" t="s">
        <v>2265</v>
      </c>
      <c r="H110" s="5" t="s">
        <v>3183</v>
      </c>
      <c r="I110" s="20"/>
      <c r="J110" s="290"/>
      <c r="K110" s="39" t="s">
        <v>523</v>
      </c>
      <c r="L110" s="38" t="s">
        <v>327</v>
      </c>
      <c r="M110" s="685">
        <v>19.989999999999998</v>
      </c>
      <c r="N110" s="37">
        <v>1</v>
      </c>
      <c r="O110" s="281">
        <v>15</v>
      </c>
      <c r="P110" s="35">
        <v>0.17499999999999999</v>
      </c>
      <c r="Q110" s="549">
        <v>7.5</v>
      </c>
      <c r="R110" s="549">
        <v>2.95</v>
      </c>
      <c r="S110" s="550">
        <v>2</v>
      </c>
      <c r="T110" s="46">
        <v>0.18</v>
      </c>
      <c r="U110" s="35">
        <v>9</v>
      </c>
      <c r="V110" s="35">
        <v>1.4</v>
      </c>
      <c r="W110" s="72">
        <v>1.25</v>
      </c>
      <c r="X110" s="94"/>
      <c r="Y110" s="93"/>
      <c r="Z110" s="93"/>
      <c r="AA110" s="291"/>
      <c r="AB110" s="46"/>
      <c r="AC110" s="35"/>
      <c r="AD110" s="35"/>
      <c r="AE110" s="72"/>
      <c r="AF110" s="44"/>
      <c r="AG110" s="86" t="s">
        <v>3184</v>
      </c>
      <c r="AH110" s="20" t="s">
        <v>539</v>
      </c>
      <c r="AI110" s="86" t="s">
        <v>541</v>
      </c>
      <c r="AJ110" s="39" t="s">
        <v>568</v>
      </c>
      <c r="AK110" s="20" t="s">
        <v>3186</v>
      </c>
      <c r="AL110" s="20"/>
      <c r="AM110" s="20"/>
      <c r="AN110" s="20"/>
      <c r="AO110" s="86" t="s">
        <v>3187</v>
      </c>
      <c r="AP110" s="20" t="s">
        <v>1839</v>
      </c>
      <c r="AQ110" s="16" t="s">
        <v>937</v>
      </c>
    </row>
    <row r="111" spans="1:43" s="16" customFormat="1" x14ac:dyDescent="0.25">
      <c r="A111" s="20" t="s">
        <v>865</v>
      </c>
      <c r="B111" s="20"/>
      <c r="C111" s="85" t="s">
        <v>620</v>
      </c>
      <c r="D111" s="4" t="s">
        <v>621</v>
      </c>
      <c r="E111" s="85" t="s">
        <v>2330</v>
      </c>
      <c r="F111" s="20" t="s">
        <v>2307</v>
      </c>
      <c r="G111" s="20" t="s">
        <v>1485</v>
      </c>
      <c r="H111" s="118">
        <v>7316220021033</v>
      </c>
      <c r="I111" s="20"/>
      <c r="J111" s="290"/>
      <c r="K111" s="39" t="s">
        <v>2328</v>
      </c>
      <c r="L111" s="38" t="s">
        <v>327</v>
      </c>
      <c r="M111" s="690">
        <v>25.99</v>
      </c>
      <c r="N111" s="37">
        <v>1</v>
      </c>
      <c r="O111" s="281">
        <v>10</v>
      </c>
      <c r="P111" s="46">
        <f>CONVERT(0.051,"kg","lbm")</f>
        <v>0.11243575371428756</v>
      </c>
      <c r="Q111" s="549">
        <f>CONVERT(170,"mm","in")</f>
        <v>6.6929133858267713</v>
      </c>
      <c r="R111" s="549">
        <f>CONVERT(76,"mm","in")</f>
        <v>2.9921259842519685</v>
      </c>
      <c r="S111" s="550">
        <v>2.5</v>
      </c>
      <c r="T111" s="46" t="s">
        <v>1647</v>
      </c>
      <c r="U111" s="35">
        <v>7.875</v>
      </c>
      <c r="V111" s="35">
        <v>1.375</v>
      </c>
      <c r="W111" s="72">
        <v>0.875</v>
      </c>
      <c r="X111" s="94" t="s">
        <v>66</v>
      </c>
      <c r="Y111" s="93" t="s">
        <v>66</v>
      </c>
      <c r="Z111" s="93" t="s">
        <v>66</v>
      </c>
      <c r="AA111" s="291" t="s">
        <v>66</v>
      </c>
      <c r="AB111" s="46">
        <v>1.2566348944538022</v>
      </c>
      <c r="AC111" s="35">
        <v>8.625</v>
      </c>
      <c r="AD111" s="35">
        <v>5</v>
      </c>
      <c r="AE111" s="72">
        <v>2.0625</v>
      </c>
      <c r="AF111" s="44">
        <f t="shared" si="12"/>
        <v>5.1472981770833336E-2</v>
      </c>
      <c r="AG111" s="39" t="s">
        <v>622</v>
      </c>
      <c r="AH111" s="39" t="s">
        <v>623</v>
      </c>
      <c r="AI111" s="39" t="s">
        <v>624</v>
      </c>
      <c r="AJ111" s="39" t="s">
        <v>625</v>
      </c>
      <c r="AK111" s="773" t="s">
        <v>626</v>
      </c>
      <c r="AL111" s="773"/>
      <c r="AM111" s="773"/>
      <c r="AN111" s="773"/>
      <c r="AO111" s="107" t="s">
        <v>627</v>
      </c>
      <c r="AP111" s="20" t="s">
        <v>1839</v>
      </c>
      <c r="AQ111" s="16" t="s">
        <v>937</v>
      </c>
    </row>
    <row r="112" spans="1:43" s="16" customFormat="1" ht="12.75" customHeight="1" x14ac:dyDescent="0.25">
      <c r="A112" s="20" t="s">
        <v>865</v>
      </c>
      <c r="B112" s="20"/>
      <c r="C112" s="85" t="s">
        <v>941</v>
      </c>
      <c r="D112" s="4" t="s">
        <v>621</v>
      </c>
      <c r="E112" s="85" t="s">
        <v>2330</v>
      </c>
      <c r="F112" s="20" t="s">
        <v>2307</v>
      </c>
      <c r="G112" s="20" t="s">
        <v>2539</v>
      </c>
      <c r="H112" s="118">
        <v>7391846009214</v>
      </c>
      <c r="I112" s="20"/>
      <c r="J112" s="290"/>
      <c r="K112" s="39" t="s">
        <v>2328</v>
      </c>
      <c r="L112" s="38" t="s">
        <v>327</v>
      </c>
      <c r="M112" s="690">
        <v>25.99</v>
      </c>
      <c r="N112" s="37">
        <v>1</v>
      </c>
      <c r="O112" s="281">
        <v>5</v>
      </c>
      <c r="P112" s="46">
        <f>CONVERT(0.051,"kg","lbm")</f>
        <v>0.11243575371428756</v>
      </c>
      <c r="Q112" s="549">
        <f>CONVERT(170,"mm","in")</f>
        <v>6.6929133858267713</v>
      </c>
      <c r="R112" s="549">
        <f>CONVERT(76,"mm","in")</f>
        <v>2.9921259842519685</v>
      </c>
      <c r="S112" s="550">
        <v>2.5</v>
      </c>
      <c r="T112" s="46">
        <v>0.23148537529412144</v>
      </c>
      <c r="U112" s="35">
        <v>5.5</v>
      </c>
      <c r="V112" s="35">
        <v>1.25</v>
      </c>
      <c r="W112" s="72">
        <v>11.8125</v>
      </c>
      <c r="X112" s="94" t="s">
        <v>66</v>
      </c>
      <c r="Y112" s="93" t="s">
        <v>66</v>
      </c>
      <c r="Z112" s="93" t="s">
        <v>66</v>
      </c>
      <c r="AA112" s="291" t="s">
        <v>66</v>
      </c>
      <c r="AB112" s="46">
        <v>1.4</v>
      </c>
      <c r="AC112" s="35">
        <v>12</v>
      </c>
      <c r="AD112" s="35">
        <v>5.75</v>
      </c>
      <c r="AE112" s="72">
        <v>5.75</v>
      </c>
      <c r="AF112" s="44">
        <f t="shared" si="12"/>
        <v>0.22960069444444445</v>
      </c>
      <c r="AG112" s="178"/>
      <c r="AH112" s="178"/>
      <c r="AI112" s="178"/>
      <c r="AJ112" s="178"/>
      <c r="AK112" s="572"/>
      <c r="AL112" s="572"/>
      <c r="AM112" s="572"/>
      <c r="AN112" s="572"/>
      <c r="AO112" s="573"/>
      <c r="AP112" s="20" t="s">
        <v>1839</v>
      </c>
      <c r="AQ112" s="16" t="s">
        <v>937</v>
      </c>
    </row>
    <row r="113" spans="1:43" s="16" customFormat="1" x14ac:dyDescent="0.25">
      <c r="A113" s="20" t="s">
        <v>865</v>
      </c>
      <c r="B113" s="20"/>
      <c r="C113" s="4" t="s">
        <v>459</v>
      </c>
      <c r="D113" s="4" t="s">
        <v>522</v>
      </c>
      <c r="E113" s="4" t="s">
        <v>2335</v>
      </c>
      <c r="F113" s="20" t="s">
        <v>2307</v>
      </c>
      <c r="G113" s="20" t="s">
        <v>1485</v>
      </c>
      <c r="H113" s="5" t="s">
        <v>502</v>
      </c>
      <c r="I113" s="20"/>
      <c r="J113" s="290"/>
      <c r="K113" s="39" t="s">
        <v>2328</v>
      </c>
      <c r="L113" s="38" t="s">
        <v>327</v>
      </c>
      <c r="M113" s="685">
        <v>34.99</v>
      </c>
      <c r="N113" s="37">
        <v>1</v>
      </c>
      <c r="O113" s="281">
        <v>10</v>
      </c>
      <c r="P113" s="46">
        <f>CONVERT(0.073,"kg","lbm")</f>
        <v>0.16093745139496063</v>
      </c>
      <c r="Q113" s="549">
        <f>CONVERT(200,"mm","in")</f>
        <v>7.8740157480314963</v>
      </c>
      <c r="R113" s="549">
        <f>CONVERT(79,"mm","in")</f>
        <v>3.1102362204724407</v>
      </c>
      <c r="S113" s="550">
        <v>2.7</v>
      </c>
      <c r="T113" s="46" t="s">
        <v>1642</v>
      </c>
      <c r="U113" s="35">
        <v>8</v>
      </c>
      <c r="V113" s="35">
        <v>1.25</v>
      </c>
      <c r="W113" s="72">
        <v>0.875</v>
      </c>
      <c r="X113" s="94" t="s">
        <v>66</v>
      </c>
      <c r="Y113" s="93" t="s">
        <v>66</v>
      </c>
      <c r="Z113" s="93" t="s">
        <v>66</v>
      </c>
      <c r="AA113" s="291" t="s">
        <v>66</v>
      </c>
      <c r="AB113" s="46">
        <v>1.631420740168094</v>
      </c>
      <c r="AC113" s="35">
        <v>9.25</v>
      </c>
      <c r="AD113" s="35">
        <v>3.875</v>
      </c>
      <c r="AE113" s="72">
        <v>3.125</v>
      </c>
      <c r="AF113" s="44">
        <f t="shared" si="12"/>
        <v>6.4821596498842587E-2</v>
      </c>
      <c r="AG113" s="86" t="s">
        <v>571</v>
      </c>
      <c r="AH113" s="20" t="s">
        <v>545</v>
      </c>
      <c r="AI113" s="20"/>
      <c r="AJ113" s="39" t="s">
        <v>568</v>
      </c>
      <c r="AK113" s="20"/>
      <c r="AL113" s="20"/>
      <c r="AM113" s="20"/>
      <c r="AN113" s="20"/>
      <c r="AO113" s="20"/>
      <c r="AP113" s="20" t="s">
        <v>1839</v>
      </c>
      <c r="AQ113" s="16" t="s">
        <v>937</v>
      </c>
    </row>
    <row r="114" spans="1:43" s="16" customFormat="1" x14ac:dyDescent="0.25">
      <c r="A114" s="20" t="s">
        <v>865</v>
      </c>
      <c r="B114" s="20"/>
      <c r="C114" s="4" t="s">
        <v>456</v>
      </c>
      <c r="D114" s="4" t="s">
        <v>522</v>
      </c>
      <c r="E114" s="4" t="s">
        <v>2336</v>
      </c>
      <c r="F114" s="20" t="s">
        <v>2307</v>
      </c>
      <c r="G114" s="20" t="s">
        <v>1485</v>
      </c>
      <c r="H114" s="5" t="s">
        <v>499</v>
      </c>
      <c r="I114" s="20"/>
      <c r="J114" s="290"/>
      <c r="K114" s="39" t="s">
        <v>2328</v>
      </c>
      <c r="L114" s="38" t="s">
        <v>327</v>
      </c>
      <c r="M114" s="685">
        <v>34.99</v>
      </c>
      <c r="N114" s="37">
        <v>1</v>
      </c>
      <c r="O114" s="281">
        <v>10</v>
      </c>
      <c r="P114" s="46">
        <f>CONVERT(0.076,"kg","lbm")</f>
        <v>0.16755131926050695</v>
      </c>
      <c r="Q114" s="549">
        <f>CONVERT(190,"mm","in")</f>
        <v>7.4803149606299213</v>
      </c>
      <c r="R114" s="549">
        <f>CONVERT(82,"mm","in")</f>
        <v>3.2283464566929134</v>
      </c>
      <c r="S114" s="550">
        <v>2.7</v>
      </c>
      <c r="T114" s="46">
        <v>0.16755131926050695</v>
      </c>
      <c r="U114" s="35">
        <v>9.125</v>
      </c>
      <c r="V114" s="35">
        <v>1.3125</v>
      </c>
      <c r="W114" s="72">
        <v>1.0625</v>
      </c>
      <c r="X114" s="94" t="s">
        <v>66</v>
      </c>
      <c r="Y114" s="93" t="s">
        <v>66</v>
      </c>
      <c r="Z114" s="93" t="s">
        <v>66</v>
      </c>
      <c r="AA114" s="291" t="s">
        <v>66</v>
      </c>
      <c r="AB114" s="46">
        <v>1.7636980974790206</v>
      </c>
      <c r="AC114" s="35">
        <v>10.5</v>
      </c>
      <c r="AD114" s="35">
        <v>8.75</v>
      </c>
      <c r="AE114" s="72">
        <v>1.875</v>
      </c>
      <c r="AF114" s="44">
        <f t="shared" si="12"/>
        <v>9.9690755208333329E-2</v>
      </c>
      <c r="AG114" s="86" t="s">
        <v>571</v>
      </c>
      <c r="AH114" s="20" t="s">
        <v>545</v>
      </c>
      <c r="AI114" s="86" t="s">
        <v>572</v>
      </c>
      <c r="AJ114" s="39" t="s">
        <v>568</v>
      </c>
      <c r="AK114" s="20" t="s">
        <v>574</v>
      </c>
      <c r="AL114" s="20"/>
      <c r="AM114" s="20"/>
      <c r="AN114" s="20"/>
      <c r="AO114" s="86" t="s">
        <v>573</v>
      </c>
      <c r="AP114" s="20" t="s">
        <v>1839</v>
      </c>
      <c r="AQ114" s="16" t="s">
        <v>937</v>
      </c>
    </row>
    <row r="115" spans="1:43" s="16" customFormat="1" x14ac:dyDescent="0.25">
      <c r="A115" s="20" t="s">
        <v>865</v>
      </c>
      <c r="B115" s="20"/>
      <c r="C115" s="4" t="s">
        <v>457</v>
      </c>
      <c r="D115" s="4" t="s">
        <v>522</v>
      </c>
      <c r="E115" s="4" t="s">
        <v>2337</v>
      </c>
      <c r="F115" s="20" t="s">
        <v>2307</v>
      </c>
      <c r="G115" s="20" t="s">
        <v>1485</v>
      </c>
      <c r="H115" s="5" t="s">
        <v>500</v>
      </c>
      <c r="I115" s="20"/>
      <c r="J115" s="290"/>
      <c r="K115" s="39" t="s">
        <v>2328</v>
      </c>
      <c r="L115" s="38" t="s">
        <v>327</v>
      </c>
      <c r="M115" s="685">
        <v>34.99</v>
      </c>
      <c r="N115" s="37">
        <v>1</v>
      </c>
      <c r="O115" s="281">
        <v>10</v>
      </c>
      <c r="P115" s="46">
        <f>CONVERT(0.069,"kg","lbm")</f>
        <v>0.15211896090756555</v>
      </c>
      <c r="Q115" s="549">
        <f>CONVERT(165,"mm","in")</f>
        <v>6.4960629921259843</v>
      </c>
      <c r="R115" s="549">
        <f>CONVERT(60,"mm","in")</f>
        <v>2.3622047244094486</v>
      </c>
      <c r="S115" s="550">
        <v>2.7</v>
      </c>
      <c r="T115" s="46">
        <v>0.15211896090756552</v>
      </c>
      <c r="U115" s="35">
        <v>9.125</v>
      </c>
      <c r="V115" s="35">
        <v>1.25</v>
      </c>
      <c r="W115" s="72">
        <v>1.0625</v>
      </c>
      <c r="X115" s="94" t="s">
        <v>66</v>
      </c>
      <c r="Y115" s="93" t="s">
        <v>66</v>
      </c>
      <c r="Z115" s="93" t="s">
        <v>66</v>
      </c>
      <c r="AA115" s="291" t="s">
        <v>66</v>
      </c>
      <c r="AB115" s="46">
        <v>1.6644900794958257</v>
      </c>
      <c r="AC115" s="35">
        <v>10.5</v>
      </c>
      <c r="AD115" s="35">
        <v>8.75</v>
      </c>
      <c r="AE115" s="72">
        <v>1.875</v>
      </c>
      <c r="AF115" s="44">
        <f t="shared" si="12"/>
        <v>9.9690755208333329E-2</v>
      </c>
      <c r="AG115" s="86" t="s">
        <v>571</v>
      </c>
      <c r="AH115" s="20" t="s">
        <v>545</v>
      </c>
      <c r="AI115" s="86" t="s">
        <v>541</v>
      </c>
      <c r="AJ115" s="39" t="s">
        <v>568</v>
      </c>
      <c r="AK115" s="20" t="s">
        <v>575</v>
      </c>
      <c r="AL115" s="20"/>
      <c r="AM115" s="20"/>
      <c r="AN115" s="20"/>
      <c r="AO115" s="86" t="s">
        <v>573</v>
      </c>
      <c r="AP115" s="20" t="s">
        <v>1839</v>
      </c>
      <c r="AQ115" s="16" t="s">
        <v>937</v>
      </c>
    </row>
    <row r="116" spans="1:43" s="16" customFormat="1" x14ac:dyDescent="0.25">
      <c r="A116" s="20" t="s">
        <v>865</v>
      </c>
      <c r="B116" s="20"/>
      <c r="C116" s="4" t="s">
        <v>458</v>
      </c>
      <c r="D116" s="4" t="s">
        <v>522</v>
      </c>
      <c r="E116" s="4" t="s">
        <v>2338</v>
      </c>
      <c r="F116" s="20" t="s">
        <v>2307</v>
      </c>
      <c r="G116" s="20" t="s">
        <v>1485</v>
      </c>
      <c r="H116" s="5" t="s">
        <v>501</v>
      </c>
      <c r="I116" s="20"/>
      <c r="J116" s="290"/>
      <c r="K116" s="39" t="s">
        <v>2328</v>
      </c>
      <c r="L116" s="38" t="s">
        <v>327</v>
      </c>
      <c r="M116" s="685">
        <v>34.99</v>
      </c>
      <c r="N116" s="37">
        <v>1</v>
      </c>
      <c r="O116" s="281">
        <v>10</v>
      </c>
      <c r="P116" s="46">
        <f>CONVERT(0.0643,"kg","lbm")</f>
        <v>0.14175723458487627</v>
      </c>
      <c r="Q116" s="549">
        <f>CONVERT(170,"mm","in")</f>
        <v>6.6929133858267713</v>
      </c>
      <c r="R116" s="549">
        <f>CONVERT(59,"mm","in")</f>
        <v>2.3228346456692912</v>
      </c>
      <c r="S116" s="550">
        <v>2.7</v>
      </c>
      <c r="T116" s="46">
        <v>0.14770971566386798</v>
      </c>
      <c r="U116" s="35">
        <v>9.25</v>
      </c>
      <c r="V116" s="35">
        <v>1.25</v>
      </c>
      <c r="W116" s="72">
        <v>1.0625</v>
      </c>
      <c r="X116" s="94" t="s">
        <v>66</v>
      </c>
      <c r="Y116" s="93" t="s">
        <v>66</v>
      </c>
      <c r="Z116" s="93" t="s">
        <v>66</v>
      </c>
      <c r="AA116" s="291" t="s">
        <v>66</v>
      </c>
      <c r="AB116" s="46">
        <v>1.631420740168094</v>
      </c>
      <c r="AC116" s="35">
        <v>10.5</v>
      </c>
      <c r="AD116" s="35">
        <v>8.75</v>
      </c>
      <c r="AE116" s="72">
        <v>1.875</v>
      </c>
      <c r="AF116" s="44">
        <f t="shared" si="12"/>
        <v>9.9690755208333329E-2</v>
      </c>
      <c r="AG116" s="86" t="s">
        <v>571</v>
      </c>
      <c r="AH116" s="20" t="s">
        <v>545</v>
      </c>
      <c r="AI116" s="20"/>
      <c r="AJ116" s="39" t="s">
        <v>568</v>
      </c>
      <c r="AK116" s="20"/>
      <c r="AL116" s="20"/>
      <c r="AM116" s="20"/>
      <c r="AN116" s="20"/>
      <c r="AO116" s="20"/>
      <c r="AP116" s="20" t="s">
        <v>1839</v>
      </c>
      <c r="AQ116" s="16" t="s">
        <v>937</v>
      </c>
    </row>
    <row r="117" spans="1:43" s="410" customFormat="1" x14ac:dyDescent="0.25">
      <c r="A117" s="410" t="s">
        <v>865</v>
      </c>
      <c r="C117" s="526" t="s">
        <v>460</v>
      </c>
      <c r="D117" s="526" t="s">
        <v>621</v>
      </c>
      <c r="E117" s="526" t="s">
        <v>2331</v>
      </c>
      <c r="F117" s="410" t="s">
        <v>2307</v>
      </c>
      <c r="G117" s="410" t="s">
        <v>1485</v>
      </c>
      <c r="H117" s="527" t="s">
        <v>503</v>
      </c>
      <c r="K117" s="421" t="s">
        <v>2328</v>
      </c>
      <c r="L117" s="415" t="s">
        <v>327</v>
      </c>
      <c r="M117" s="688">
        <v>34.99</v>
      </c>
      <c r="N117" s="417">
        <v>1</v>
      </c>
      <c r="O117" s="528">
        <v>10</v>
      </c>
      <c r="P117" s="419">
        <f>CONVERT(0.069,"kg","lbm")</f>
        <v>0.15211896090756555</v>
      </c>
      <c r="Q117" s="551">
        <f>CONVERT(165,"mm","in")</f>
        <v>6.4960629921259843</v>
      </c>
      <c r="R117" s="551">
        <f>CONVERT(55,"mm","in")</f>
        <v>2.1653543307086616</v>
      </c>
      <c r="S117" s="552">
        <v>2.5</v>
      </c>
      <c r="T117" s="419">
        <v>0.15211896090756552</v>
      </c>
      <c r="U117" s="412">
        <v>6.375</v>
      </c>
      <c r="V117" s="412">
        <v>1.25</v>
      </c>
      <c r="W117" s="420">
        <v>1.25</v>
      </c>
      <c r="X117" s="529" t="s">
        <v>66</v>
      </c>
      <c r="Y117" s="473" t="s">
        <v>66</v>
      </c>
      <c r="Z117" s="473" t="s">
        <v>66</v>
      </c>
      <c r="AA117" s="474" t="s">
        <v>66</v>
      </c>
      <c r="AB117" s="419">
        <v>1.3778891386554848</v>
      </c>
      <c r="AC117" s="412">
        <v>9.25</v>
      </c>
      <c r="AD117" s="412">
        <v>3.875</v>
      </c>
      <c r="AE117" s="420">
        <v>3.125</v>
      </c>
      <c r="AF117" s="419">
        <f t="shared" si="12"/>
        <v>6.4821596498842587E-2</v>
      </c>
      <c r="AG117" s="530" t="s">
        <v>576</v>
      </c>
      <c r="AH117" s="410" t="s">
        <v>545</v>
      </c>
      <c r="AI117" s="791" t="s">
        <v>580</v>
      </c>
      <c r="AJ117" s="421" t="s">
        <v>568</v>
      </c>
      <c r="AK117" s="410" t="s">
        <v>577</v>
      </c>
      <c r="AO117" s="530" t="s">
        <v>578</v>
      </c>
      <c r="AP117" s="410" t="s">
        <v>1839</v>
      </c>
      <c r="AQ117" s="410" t="s">
        <v>937</v>
      </c>
    </row>
    <row r="118" spans="1:43" s="16" customFormat="1" x14ac:dyDescent="0.25">
      <c r="A118" s="20" t="s">
        <v>865</v>
      </c>
      <c r="B118" s="20"/>
      <c r="C118" s="4" t="s">
        <v>3149</v>
      </c>
      <c r="D118" s="4" t="s">
        <v>649</v>
      </c>
      <c r="E118" s="4" t="s">
        <v>3155</v>
      </c>
      <c r="F118" s="20" t="s">
        <v>2307</v>
      </c>
      <c r="G118" s="20" t="s">
        <v>1485</v>
      </c>
      <c r="H118" s="5" t="s">
        <v>3158</v>
      </c>
      <c r="I118" s="20"/>
      <c r="J118" s="290"/>
      <c r="K118" s="39" t="s">
        <v>2328</v>
      </c>
      <c r="L118" s="38" t="s">
        <v>327</v>
      </c>
      <c r="M118" s="685"/>
      <c r="N118" s="37">
        <v>1</v>
      </c>
      <c r="O118" s="281">
        <v>10</v>
      </c>
      <c r="P118" s="46"/>
      <c r="Q118" s="549"/>
      <c r="R118" s="549"/>
      <c r="S118" s="550"/>
      <c r="T118" s="46"/>
      <c r="U118" s="35"/>
      <c r="V118" s="35"/>
      <c r="W118" s="72"/>
      <c r="X118" s="94"/>
      <c r="Y118" s="93"/>
      <c r="Z118" s="93"/>
      <c r="AA118" s="291"/>
      <c r="AB118" s="46"/>
      <c r="AC118" s="35"/>
      <c r="AD118" s="35"/>
      <c r="AE118" s="72"/>
      <c r="AF118" s="44"/>
      <c r="AG118" s="86" t="s">
        <v>3178</v>
      </c>
      <c r="AH118" s="20" t="s">
        <v>545</v>
      </c>
      <c r="AI118" s="783" t="s">
        <v>580</v>
      </c>
      <c r="AJ118" s="39" t="s">
        <v>568</v>
      </c>
      <c r="AK118" s="20"/>
      <c r="AL118" s="20"/>
      <c r="AM118" s="20"/>
      <c r="AN118" s="20"/>
      <c r="AO118" s="86" t="s">
        <v>3180</v>
      </c>
      <c r="AP118" s="20" t="s">
        <v>1839</v>
      </c>
      <c r="AQ118" s="16" t="s">
        <v>937</v>
      </c>
    </row>
    <row r="119" spans="1:43" s="16" customFormat="1" x14ac:dyDescent="0.25">
      <c r="A119" s="20" t="s">
        <v>865</v>
      </c>
      <c r="B119" s="20"/>
      <c r="C119" s="4" t="s">
        <v>3150</v>
      </c>
      <c r="D119" s="4" t="s">
        <v>649</v>
      </c>
      <c r="E119" s="4" t="s">
        <v>3155</v>
      </c>
      <c r="F119" s="20" t="s">
        <v>2307</v>
      </c>
      <c r="G119" s="20" t="s">
        <v>1480</v>
      </c>
      <c r="H119" s="5" t="s">
        <v>3159</v>
      </c>
      <c r="I119" s="20"/>
      <c r="J119" s="290"/>
      <c r="K119" s="39" t="s">
        <v>2328</v>
      </c>
      <c r="L119" s="38" t="s">
        <v>327</v>
      </c>
      <c r="M119" s="685">
        <v>39.99</v>
      </c>
      <c r="N119" s="37">
        <v>1</v>
      </c>
      <c r="O119" s="281">
        <v>5</v>
      </c>
      <c r="P119" s="46"/>
      <c r="Q119" s="549"/>
      <c r="R119" s="549"/>
      <c r="S119" s="550"/>
      <c r="T119" s="46"/>
      <c r="U119" s="35"/>
      <c r="V119" s="35"/>
      <c r="W119" s="72"/>
      <c r="X119" s="94"/>
      <c r="Y119" s="93"/>
      <c r="Z119" s="93"/>
      <c r="AA119" s="291"/>
      <c r="AB119" s="46"/>
      <c r="AC119" s="35"/>
      <c r="AD119" s="35"/>
      <c r="AE119" s="72"/>
      <c r="AF119" s="44"/>
      <c r="AG119" s="86" t="s">
        <v>3178</v>
      </c>
      <c r="AH119" s="20" t="s">
        <v>545</v>
      </c>
      <c r="AI119" s="783" t="s">
        <v>580</v>
      </c>
      <c r="AJ119" s="39" t="s">
        <v>568</v>
      </c>
      <c r="AK119" s="20"/>
      <c r="AL119" s="20"/>
      <c r="AM119" s="20"/>
      <c r="AN119" s="20"/>
      <c r="AO119" s="86" t="s">
        <v>3180</v>
      </c>
      <c r="AP119" s="20" t="s">
        <v>1839</v>
      </c>
      <c r="AQ119" s="16" t="s">
        <v>937</v>
      </c>
    </row>
    <row r="120" spans="1:43" s="410" customFormat="1" ht="12.75" customHeight="1" x14ac:dyDescent="0.25">
      <c r="A120" s="410" t="s">
        <v>865</v>
      </c>
      <c r="C120" s="526" t="s">
        <v>461</v>
      </c>
      <c r="D120" s="526" t="s">
        <v>621</v>
      </c>
      <c r="E120" s="526" t="s">
        <v>2332</v>
      </c>
      <c r="F120" s="410" t="s">
        <v>2307</v>
      </c>
      <c r="G120" s="410" t="s">
        <v>1485</v>
      </c>
      <c r="H120" s="527" t="s">
        <v>504</v>
      </c>
      <c r="K120" s="421" t="s">
        <v>2328</v>
      </c>
      <c r="L120" s="415" t="s">
        <v>327</v>
      </c>
      <c r="M120" s="688">
        <v>34.99</v>
      </c>
      <c r="N120" s="417">
        <v>1</v>
      </c>
      <c r="O120" s="528">
        <v>10</v>
      </c>
      <c r="P120" s="419">
        <f>CONVERT(0.055,"kg","lbm")</f>
        <v>0.12125424420168267</v>
      </c>
      <c r="Q120" s="551">
        <f>CONVERT(178,"mm","in")</f>
        <v>7.0078740157480315</v>
      </c>
      <c r="R120" s="551">
        <f>CONVERT(70,"mm","in")</f>
        <v>2.7559055118110236</v>
      </c>
      <c r="S120" s="552">
        <v>2.5</v>
      </c>
      <c r="T120" s="419">
        <v>0.12125424420168267</v>
      </c>
      <c r="U120" s="412">
        <v>7</v>
      </c>
      <c r="V120" s="412">
        <v>1.125</v>
      </c>
      <c r="W120" s="420">
        <v>0.875</v>
      </c>
      <c r="X120" s="529" t="s">
        <v>66</v>
      </c>
      <c r="Y120" s="473" t="s">
        <v>66</v>
      </c>
      <c r="Z120" s="473" t="s">
        <v>66</v>
      </c>
      <c r="AA120" s="474" t="s">
        <v>66</v>
      </c>
      <c r="AB120" s="419">
        <v>1.366866025546241</v>
      </c>
      <c r="AC120" s="412">
        <v>9.25</v>
      </c>
      <c r="AD120" s="412">
        <v>3.875</v>
      </c>
      <c r="AE120" s="420">
        <v>3.125</v>
      </c>
      <c r="AF120" s="419">
        <f t="shared" si="12"/>
        <v>6.4821596498842587E-2</v>
      </c>
      <c r="AG120" s="530" t="s">
        <v>576</v>
      </c>
      <c r="AH120" s="410" t="s">
        <v>545</v>
      </c>
      <c r="AI120" s="410" t="s">
        <v>581</v>
      </c>
      <c r="AJ120" s="421" t="s">
        <v>568</v>
      </c>
      <c r="AO120" s="792" t="s">
        <v>579</v>
      </c>
      <c r="AP120" s="410" t="s">
        <v>1839</v>
      </c>
      <c r="AQ120" s="410" t="s">
        <v>937</v>
      </c>
    </row>
    <row r="121" spans="1:43" s="16" customFormat="1" ht="12.75" customHeight="1" x14ac:dyDescent="0.25">
      <c r="A121" s="20" t="s">
        <v>865</v>
      </c>
      <c r="B121" s="20"/>
      <c r="C121" s="4" t="s">
        <v>3151</v>
      </c>
      <c r="D121" s="4" t="s">
        <v>649</v>
      </c>
      <c r="E121" s="4" t="s">
        <v>3156</v>
      </c>
      <c r="F121" s="20" t="s">
        <v>2307</v>
      </c>
      <c r="G121" s="20" t="s">
        <v>1485</v>
      </c>
      <c r="H121" s="5" t="s">
        <v>3160</v>
      </c>
      <c r="I121" s="20"/>
      <c r="J121" s="290"/>
      <c r="K121" s="39" t="s">
        <v>2328</v>
      </c>
      <c r="L121" s="38" t="s">
        <v>327</v>
      </c>
      <c r="M121" s="685"/>
      <c r="N121" s="37">
        <v>1</v>
      </c>
      <c r="O121" s="281">
        <v>10</v>
      </c>
      <c r="P121" s="46"/>
      <c r="Q121" s="549"/>
      <c r="R121" s="549"/>
      <c r="S121" s="550"/>
      <c r="T121" s="46"/>
      <c r="U121" s="35"/>
      <c r="V121" s="35"/>
      <c r="W121" s="72"/>
      <c r="X121" s="94"/>
      <c r="Y121" s="93"/>
      <c r="Z121" s="93"/>
      <c r="AA121" s="291"/>
      <c r="AB121" s="46"/>
      <c r="AC121" s="35"/>
      <c r="AD121" s="35"/>
      <c r="AE121" s="72"/>
      <c r="AF121" s="44"/>
      <c r="AG121" s="86" t="s">
        <v>3178</v>
      </c>
      <c r="AH121" s="20" t="s">
        <v>545</v>
      </c>
      <c r="AI121" s="20" t="s">
        <v>581</v>
      </c>
      <c r="AJ121" s="39" t="s">
        <v>568</v>
      </c>
      <c r="AK121" s="20"/>
      <c r="AL121" s="20"/>
      <c r="AM121" s="20"/>
      <c r="AN121" s="20"/>
      <c r="AO121" s="777" t="s">
        <v>3179</v>
      </c>
      <c r="AP121" s="20" t="s">
        <v>1839</v>
      </c>
      <c r="AQ121" s="16" t="s">
        <v>937</v>
      </c>
    </row>
    <row r="122" spans="1:43" s="16" customFormat="1" ht="12.75" customHeight="1" x14ac:dyDescent="0.25">
      <c r="A122" s="20" t="s">
        <v>865</v>
      </c>
      <c r="B122" s="20"/>
      <c r="C122" s="4" t="s">
        <v>3152</v>
      </c>
      <c r="D122" s="4" t="s">
        <v>649</v>
      </c>
      <c r="E122" s="4" t="s">
        <v>3156</v>
      </c>
      <c r="F122" s="20" t="s">
        <v>2307</v>
      </c>
      <c r="G122" s="20" t="s">
        <v>1480</v>
      </c>
      <c r="H122" s="5" t="s">
        <v>3161</v>
      </c>
      <c r="I122" s="20"/>
      <c r="J122" s="290"/>
      <c r="K122" s="39" t="s">
        <v>2328</v>
      </c>
      <c r="L122" s="38" t="s">
        <v>327</v>
      </c>
      <c r="M122" s="685">
        <v>39.99</v>
      </c>
      <c r="N122" s="37">
        <v>1</v>
      </c>
      <c r="O122" s="281">
        <v>5</v>
      </c>
      <c r="P122" s="46"/>
      <c r="Q122" s="549"/>
      <c r="R122" s="549"/>
      <c r="S122" s="550"/>
      <c r="T122" s="46"/>
      <c r="U122" s="35"/>
      <c r="V122" s="35"/>
      <c r="W122" s="72"/>
      <c r="X122" s="94"/>
      <c r="Y122" s="93"/>
      <c r="Z122" s="93"/>
      <c r="AA122" s="291"/>
      <c r="AB122" s="46"/>
      <c r="AC122" s="35"/>
      <c r="AD122" s="35"/>
      <c r="AE122" s="72"/>
      <c r="AF122" s="44"/>
      <c r="AG122" s="86" t="s">
        <v>3178</v>
      </c>
      <c r="AH122" s="20" t="s">
        <v>545</v>
      </c>
      <c r="AI122" s="20" t="s">
        <v>581</v>
      </c>
      <c r="AJ122" s="39" t="s">
        <v>568</v>
      </c>
      <c r="AK122" s="20"/>
      <c r="AL122" s="20"/>
      <c r="AM122" s="20"/>
      <c r="AN122" s="20"/>
      <c r="AO122" s="777" t="s">
        <v>3179</v>
      </c>
      <c r="AP122" s="20" t="s">
        <v>1839</v>
      </c>
      <c r="AQ122" s="16" t="s">
        <v>937</v>
      </c>
    </row>
    <row r="123" spans="1:43" s="410" customFormat="1" ht="12.75" customHeight="1" x14ac:dyDescent="0.25">
      <c r="A123" s="410" t="s">
        <v>865</v>
      </c>
      <c r="C123" s="526" t="s">
        <v>462</v>
      </c>
      <c r="D123" s="526" t="s">
        <v>621</v>
      </c>
      <c r="E123" s="526" t="s">
        <v>2333</v>
      </c>
      <c r="F123" s="410" t="s">
        <v>2307</v>
      </c>
      <c r="G123" s="410" t="s">
        <v>1485</v>
      </c>
      <c r="H123" s="527" t="s">
        <v>505</v>
      </c>
      <c r="K123" s="421" t="s">
        <v>2328</v>
      </c>
      <c r="L123" s="415" t="s">
        <v>327</v>
      </c>
      <c r="M123" s="688">
        <v>34.99</v>
      </c>
      <c r="N123" s="417">
        <v>1</v>
      </c>
      <c r="O123" s="528">
        <v>10</v>
      </c>
      <c r="P123" s="419">
        <f>CONVERT(0.059,"kg","lbm")</f>
        <v>0.13007273468907776</v>
      </c>
      <c r="Q123" s="551">
        <f>CONVERT(160,"mm","in")</f>
        <v>6.2992125984251972</v>
      </c>
      <c r="R123" s="551">
        <f>CONVERT(50,"mm","in")</f>
        <v>1.9685039370078741</v>
      </c>
      <c r="S123" s="552">
        <v>2.5</v>
      </c>
      <c r="T123" s="419">
        <v>0.13007273468907776</v>
      </c>
      <c r="U123" s="412">
        <v>6.375</v>
      </c>
      <c r="V123" s="412">
        <v>1.125</v>
      </c>
      <c r="W123" s="420">
        <v>1.125</v>
      </c>
      <c r="X123" s="529" t="s">
        <v>66</v>
      </c>
      <c r="Y123" s="473" t="s">
        <v>66</v>
      </c>
      <c r="Z123" s="473" t="s">
        <v>66</v>
      </c>
      <c r="AA123" s="474" t="s">
        <v>66</v>
      </c>
      <c r="AB123" s="419">
        <v>1.3227735731092654</v>
      </c>
      <c r="AC123" s="412">
        <v>9.25</v>
      </c>
      <c r="AD123" s="412">
        <v>3.875</v>
      </c>
      <c r="AE123" s="420">
        <v>3.125</v>
      </c>
      <c r="AF123" s="419">
        <f t="shared" si="12"/>
        <v>6.4821596498842587E-2</v>
      </c>
      <c r="AG123" s="530" t="s">
        <v>576</v>
      </c>
      <c r="AH123" s="410" t="s">
        <v>545</v>
      </c>
      <c r="AI123" s="530" t="s">
        <v>582</v>
      </c>
      <c r="AJ123" s="421" t="s">
        <v>568</v>
      </c>
      <c r="AK123" s="792" t="s">
        <v>547</v>
      </c>
      <c r="AL123" s="792"/>
      <c r="AM123" s="792"/>
      <c r="AN123" s="792"/>
      <c r="AO123" s="530" t="s">
        <v>546</v>
      </c>
      <c r="AP123" s="410" t="s">
        <v>1839</v>
      </c>
      <c r="AQ123" s="410" t="s">
        <v>937</v>
      </c>
    </row>
    <row r="124" spans="1:43" s="16" customFormat="1" ht="12.75" customHeight="1" x14ac:dyDescent="0.25">
      <c r="A124" s="20" t="s">
        <v>865</v>
      </c>
      <c r="B124" s="20"/>
      <c r="C124" s="4" t="s">
        <v>3153</v>
      </c>
      <c r="D124" s="4" t="s">
        <v>649</v>
      </c>
      <c r="E124" s="4" t="s">
        <v>3157</v>
      </c>
      <c r="F124" s="20" t="s">
        <v>2307</v>
      </c>
      <c r="G124" s="20" t="s">
        <v>1480</v>
      </c>
      <c r="H124" s="5" t="s">
        <v>3162</v>
      </c>
      <c r="I124" s="20"/>
      <c r="J124" s="290"/>
      <c r="K124" s="39" t="s">
        <v>2328</v>
      </c>
      <c r="L124" s="38" t="s">
        <v>327</v>
      </c>
      <c r="M124" s="685">
        <v>39.99</v>
      </c>
      <c r="N124" s="37">
        <v>1</v>
      </c>
      <c r="O124" s="281">
        <v>5</v>
      </c>
      <c r="P124" s="46">
        <v>0.13</v>
      </c>
      <c r="Q124" s="549">
        <v>6.3</v>
      </c>
      <c r="R124" s="549">
        <v>2</v>
      </c>
      <c r="S124" s="550">
        <v>2.5</v>
      </c>
      <c r="T124" s="46">
        <v>0.2</v>
      </c>
      <c r="U124" s="35">
        <v>12</v>
      </c>
      <c r="V124" s="35">
        <v>5.7</v>
      </c>
      <c r="W124" s="72">
        <v>1.6</v>
      </c>
      <c r="X124" s="94"/>
      <c r="Y124" s="93"/>
      <c r="Z124" s="93"/>
      <c r="AA124" s="291"/>
      <c r="AB124" s="46"/>
      <c r="AC124" s="35"/>
      <c r="AD124" s="35"/>
      <c r="AE124" s="72"/>
      <c r="AF124" s="44"/>
      <c r="AG124" s="86" t="s">
        <v>3178</v>
      </c>
      <c r="AH124" s="20" t="s">
        <v>545</v>
      </c>
      <c r="AI124" s="86" t="s">
        <v>582</v>
      </c>
      <c r="AJ124" s="39" t="s">
        <v>3176</v>
      </c>
      <c r="AK124" s="777"/>
      <c r="AL124" s="777"/>
      <c r="AM124" s="777"/>
      <c r="AN124" s="777"/>
      <c r="AO124" s="86" t="s">
        <v>3177</v>
      </c>
      <c r="AP124" s="20" t="s">
        <v>1839</v>
      </c>
      <c r="AQ124" s="16" t="s">
        <v>937</v>
      </c>
    </row>
    <row r="125" spans="1:43" s="16" customFormat="1" ht="12.75" customHeight="1" x14ac:dyDescent="0.25">
      <c r="A125" s="20" t="s">
        <v>865</v>
      </c>
      <c r="B125" s="20"/>
      <c r="C125" s="4" t="s">
        <v>3154</v>
      </c>
      <c r="D125" s="4" t="s">
        <v>649</v>
      </c>
      <c r="E125" s="4" t="s">
        <v>3157</v>
      </c>
      <c r="F125" s="20" t="s">
        <v>2307</v>
      </c>
      <c r="G125" s="20" t="s">
        <v>1485</v>
      </c>
      <c r="H125" s="5" t="s">
        <v>3163</v>
      </c>
      <c r="I125" s="20"/>
      <c r="J125" s="290"/>
      <c r="K125" s="39" t="s">
        <v>2328</v>
      </c>
      <c r="L125" s="38" t="s">
        <v>327</v>
      </c>
      <c r="M125" s="685"/>
      <c r="N125" s="37">
        <v>1</v>
      </c>
      <c r="O125" s="281">
        <v>10</v>
      </c>
      <c r="P125" s="46"/>
      <c r="Q125" s="549"/>
      <c r="R125" s="549"/>
      <c r="S125" s="550"/>
      <c r="T125" s="46"/>
      <c r="U125" s="35"/>
      <c r="V125" s="35"/>
      <c r="W125" s="72"/>
      <c r="X125" s="94"/>
      <c r="Y125" s="93"/>
      <c r="Z125" s="93"/>
      <c r="AA125" s="291"/>
      <c r="AB125" s="46"/>
      <c r="AC125" s="35"/>
      <c r="AD125" s="35"/>
      <c r="AE125" s="72"/>
      <c r="AF125" s="44"/>
      <c r="AG125" s="86" t="s">
        <v>3178</v>
      </c>
      <c r="AH125" s="20" t="s">
        <v>545</v>
      </c>
      <c r="AI125" s="86" t="s">
        <v>582</v>
      </c>
      <c r="AJ125" s="39" t="s">
        <v>3176</v>
      </c>
      <c r="AK125" s="777"/>
      <c r="AL125" s="777"/>
      <c r="AM125" s="777"/>
      <c r="AN125" s="777"/>
      <c r="AO125" s="86" t="s">
        <v>3177</v>
      </c>
      <c r="AP125" s="20" t="s">
        <v>1839</v>
      </c>
      <c r="AQ125" s="16" t="s">
        <v>937</v>
      </c>
    </row>
    <row r="126" spans="1:43" s="16" customFormat="1" x14ac:dyDescent="0.25">
      <c r="A126" s="20" t="s">
        <v>865</v>
      </c>
      <c r="B126" s="20"/>
      <c r="C126" s="4" t="s">
        <v>463</v>
      </c>
      <c r="D126" s="4" t="s">
        <v>621</v>
      </c>
      <c r="E126" s="4" t="s">
        <v>2334</v>
      </c>
      <c r="F126" s="20" t="s">
        <v>2307</v>
      </c>
      <c r="G126" s="20" t="s">
        <v>1485</v>
      </c>
      <c r="H126" s="5" t="s">
        <v>506</v>
      </c>
      <c r="I126" s="20"/>
      <c r="J126" s="290"/>
      <c r="K126" s="39" t="s">
        <v>2328</v>
      </c>
      <c r="L126" s="38" t="s">
        <v>327</v>
      </c>
      <c r="M126" s="690">
        <v>39.99</v>
      </c>
      <c r="N126" s="37">
        <v>1</v>
      </c>
      <c r="O126" s="281">
        <v>10</v>
      </c>
      <c r="P126" s="46">
        <f>CONVERT(0.154,"kg","lbm")</f>
        <v>0.33951188376471142</v>
      </c>
      <c r="Q126" s="549">
        <f>CONVERT(366,"mm","in")</f>
        <v>14.409448818897637</v>
      </c>
      <c r="R126" s="549">
        <f>CONVERT(114,"mm","in")</f>
        <v>4.4881889763779528</v>
      </c>
      <c r="S126" s="550">
        <v>2.5</v>
      </c>
      <c r="T126" s="46">
        <v>0.33951188376471148</v>
      </c>
      <c r="U126" s="35">
        <v>14.5</v>
      </c>
      <c r="V126" s="35">
        <v>1.25</v>
      </c>
      <c r="W126" s="72">
        <v>1.25</v>
      </c>
      <c r="X126" s="94" t="s">
        <v>66</v>
      </c>
      <c r="Y126" s="93" t="s">
        <v>66</v>
      </c>
      <c r="Z126" s="93" t="s">
        <v>66</v>
      </c>
      <c r="AA126" s="291" t="s">
        <v>66</v>
      </c>
      <c r="AB126" s="46">
        <v>3.5</v>
      </c>
      <c r="AC126" s="35">
        <v>15</v>
      </c>
      <c r="AD126" s="35">
        <v>5.5</v>
      </c>
      <c r="AE126" s="72">
        <v>2</v>
      </c>
      <c r="AF126" s="44">
        <f t="shared" si="12"/>
        <v>9.5486111111111105E-2</v>
      </c>
      <c r="AG126" s="20" t="s">
        <v>529</v>
      </c>
      <c r="AH126" s="20" t="s">
        <v>545</v>
      </c>
      <c r="AI126" s="20"/>
      <c r="AJ126" s="39" t="s">
        <v>599</v>
      </c>
      <c r="AK126" s="778" t="s">
        <v>544</v>
      </c>
      <c r="AL126" s="778"/>
      <c r="AM126" s="778"/>
      <c r="AN126" s="778"/>
      <c r="AO126" s="86" t="s">
        <v>543</v>
      </c>
      <c r="AP126" s="20" t="s">
        <v>1839</v>
      </c>
      <c r="AQ126" s="16" t="s">
        <v>937</v>
      </c>
    </row>
    <row r="127" spans="1:43" s="20" customFormat="1" ht="15.6" x14ac:dyDescent="0.3">
      <c r="A127" s="523" t="s">
        <v>2270</v>
      </c>
      <c r="B127" s="532"/>
      <c r="C127" s="532"/>
      <c r="D127" s="4"/>
      <c r="E127" s="4"/>
      <c r="H127" s="5"/>
      <c r="K127" s="39"/>
      <c r="L127" s="38"/>
      <c r="M127" s="686"/>
      <c r="N127" s="37"/>
      <c r="O127" s="281"/>
      <c r="P127" s="46"/>
      <c r="Q127" s="35"/>
      <c r="R127" s="35"/>
      <c r="S127" s="72"/>
      <c r="T127" s="46"/>
      <c r="U127" s="35"/>
      <c r="V127" s="35"/>
      <c r="W127" s="72"/>
      <c r="X127" s="94"/>
      <c r="Y127" s="93"/>
      <c r="Z127" s="93"/>
      <c r="AA127" s="291"/>
      <c r="AB127" s="46"/>
      <c r="AC127" s="35"/>
      <c r="AD127" s="35"/>
      <c r="AE127" s="72"/>
      <c r="AF127" s="46"/>
      <c r="AG127" s="86"/>
      <c r="AH127" s="85"/>
      <c r="AI127" s="86"/>
      <c r="AJ127" s="39"/>
      <c r="AK127" s="86"/>
      <c r="AL127" s="86"/>
      <c r="AM127" s="86"/>
      <c r="AN127" s="86"/>
      <c r="AO127" s="86"/>
      <c r="AQ127" s="39"/>
    </row>
    <row r="128" spans="1:43" s="16" customFormat="1" x14ac:dyDescent="0.25">
      <c r="A128" s="20" t="s">
        <v>865</v>
      </c>
      <c r="B128" s="20"/>
      <c r="C128" s="132" t="s">
        <v>1032</v>
      </c>
      <c r="D128" s="4" t="s">
        <v>621</v>
      </c>
      <c r="E128" s="132" t="s">
        <v>1043</v>
      </c>
      <c r="F128" s="20" t="s">
        <v>2354</v>
      </c>
      <c r="G128" s="20" t="s">
        <v>2265</v>
      </c>
      <c r="H128" s="5" t="s">
        <v>2345</v>
      </c>
      <c r="I128" s="20"/>
      <c r="J128" s="290"/>
      <c r="K128" s="39" t="s">
        <v>523</v>
      </c>
      <c r="L128" s="38" t="s">
        <v>327</v>
      </c>
      <c r="M128" s="687">
        <v>13.99</v>
      </c>
      <c r="N128" s="37">
        <v>1</v>
      </c>
      <c r="O128" s="281">
        <v>15</v>
      </c>
      <c r="P128" s="46">
        <f>CONVERT(0.1145,"kg","lbm")</f>
        <v>0.25242929020168481</v>
      </c>
      <c r="Q128" s="549">
        <f>CONVERT(206,"mm","in")</f>
        <v>8.1102362204724407</v>
      </c>
      <c r="R128" s="549">
        <f>CONVERT(91,"mm","in")</f>
        <v>3.5826771653543306</v>
      </c>
      <c r="S128" s="550">
        <v>2</v>
      </c>
      <c r="T128" s="46">
        <v>0.25242929020168481</v>
      </c>
      <c r="U128" s="35">
        <v>8.875</v>
      </c>
      <c r="V128" s="35">
        <v>1.75</v>
      </c>
      <c r="W128" s="72">
        <v>1.375</v>
      </c>
      <c r="X128" s="94" t="s">
        <v>66</v>
      </c>
      <c r="Y128" s="93" t="s">
        <v>66</v>
      </c>
      <c r="Z128" s="93" t="s">
        <v>66</v>
      </c>
      <c r="AA128" s="291" t="s">
        <v>66</v>
      </c>
      <c r="AB128" s="46">
        <v>4.2</v>
      </c>
      <c r="AC128" s="35">
        <v>5</v>
      </c>
      <c r="AD128" s="35">
        <v>9.75</v>
      </c>
      <c r="AE128" s="72">
        <v>9</v>
      </c>
      <c r="AF128" s="44"/>
      <c r="AG128" s="569"/>
      <c r="AH128" s="570"/>
      <c r="AI128" s="569"/>
      <c r="AJ128" s="178"/>
      <c r="AK128" s="569"/>
      <c r="AL128" s="569"/>
      <c r="AM128" s="569"/>
      <c r="AN128" s="569"/>
      <c r="AO128" s="569"/>
      <c r="AP128" s="20" t="s">
        <v>1839</v>
      </c>
      <c r="AQ128" s="16" t="s">
        <v>937</v>
      </c>
    </row>
    <row r="129" spans="1:43" s="16" customFormat="1" x14ac:dyDescent="0.25">
      <c r="A129" s="20" t="s">
        <v>865</v>
      </c>
      <c r="B129" s="20"/>
      <c r="C129" s="132" t="s">
        <v>1033</v>
      </c>
      <c r="D129" s="4" t="s">
        <v>649</v>
      </c>
      <c r="E129" s="132" t="s">
        <v>1044</v>
      </c>
      <c r="F129" s="20" t="s">
        <v>2355</v>
      </c>
      <c r="G129" s="20" t="s">
        <v>2265</v>
      </c>
      <c r="H129" s="5" t="s">
        <v>2346</v>
      </c>
      <c r="I129" s="20"/>
      <c r="J129" s="290"/>
      <c r="K129" s="39" t="s">
        <v>523</v>
      </c>
      <c r="L129" s="38" t="s">
        <v>327</v>
      </c>
      <c r="M129" s="687">
        <v>14.99</v>
      </c>
      <c r="N129" s="37">
        <v>1</v>
      </c>
      <c r="O129" s="281">
        <v>15</v>
      </c>
      <c r="P129" s="46">
        <f>CONVERT(0.1145,"kg","lbm")</f>
        <v>0.25242929020168481</v>
      </c>
      <c r="Q129" s="549">
        <f>CONVERT(206,"mm","in")</f>
        <v>8.1102362204724407</v>
      </c>
      <c r="R129" s="549">
        <f>CONVERT(91,"mm","in")</f>
        <v>3.5826771653543306</v>
      </c>
      <c r="S129" s="550">
        <v>2</v>
      </c>
      <c r="T129" s="46">
        <v>0.25242929020168481</v>
      </c>
      <c r="U129" s="35">
        <v>8.875</v>
      </c>
      <c r="V129" s="35">
        <v>1.75</v>
      </c>
      <c r="W129" s="72">
        <v>1.375</v>
      </c>
      <c r="X129" s="94" t="s">
        <v>66</v>
      </c>
      <c r="Y129" s="93" t="s">
        <v>66</v>
      </c>
      <c r="Z129" s="93" t="s">
        <v>66</v>
      </c>
      <c r="AA129" s="291" t="s">
        <v>66</v>
      </c>
      <c r="AB129" s="46">
        <v>4.2</v>
      </c>
      <c r="AC129" s="35">
        <v>5</v>
      </c>
      <c r="AD129" s="35">
        <v>9.75</v>
      </c>
      <c r="AE129" s="72">
        <v>9</v>
      </c>
      <c r="AF129" s="44"/>
      <c r="AG129" s="569"/>
      <c r="AH129" s="570"/>
      <c r="AI129" s="569"/>
      <c r="AJ129" s="178"/>
      <c r="AK129" s="569"/>
      <c r="AL129" s="569"/>
      <c r="AM129" s="569"/>
      <c r="AN129" s="569"/>
      <c r="AO129" s="569"/>
      <c r="AP129" s="20" t="s">
        <v>1839</v>
      </c>
      <c r="AQ129" s="16" t="s">
        <v>937</v>
      </c>
    </row>
    <row r="130" spans="1:43" s="16" customFormat="1" x14ac:dyDescent="0.25">
      <c r="A130" s="20" t="s">
        <v>865</v>
      </c>
      <c r="B130" s="20"/>
      <c r="C130" s="132" t="s">
        <v>2269</v>
      </c>
      <c r="D130" s="4" t="s">
        <v>649</v>
      </c>
      <c r="E130" s="132" t="s">
        <v>1044</v>
      </c>
      <c r="F130" s="20" t="s">
        <v>2355</v>
      </c>
      <c r="G130" s="20" t="s">
        <v>2539</v>
      </c>
      <c r="H130" s="5" t="s">
        <v>2347</v>
      </c>
      <c r="I130" s="20"/>
      <c r="J130" s="290"/>
      <c r="K130" s="39" t="s">
        <v>523</v>
      </c>
      <c r="L130" s="38" t="s">
        <v>327</v>
      </c>
      <c r="M130" s="687">
        <v>16.989999999999998</v>
      </c>
      <c r="N130" s="37">
        <v>1</v>
      </c>
      <c r="O130" s="281">
        <v>5</v>
      </c>
      <c r="P130" s="46">
        <f>CONVERT(0.1145,"kg","lbm")</f>
        <v>0.25242929020168481</v>
      </c>
      <c r="Q130" s="549">
        <f>CONVERT(206,"mm","in")</f>
        <v>8.1102362204724407</v>
      </c>
      <c r="R130" s="549">
        <f>CONVERT(91,"mm","in")</f>
        <v>3.5826771653543306</v>
      </c>
      <c r="S130" s="550">
        <v>2</v>
      </c>
      <c r="T130" s="46">
        <v>0.25242929020168481</v>
      </c>
      <c r="U130" s="35">
        <v>5.5</v>
      </c>
      <c r="V130" s="35">
        <v>1.25</v>
      </c>
      <c r="W130" s="72">
        <v>11.8125</v>
      </c>
      <c r="X130" s="94" t="s">
        <v>66</v>
      </c>
      <c r="Y130" s="93" t="s">
        <v>66</v>
      </c>
      <c r="Z130" s="93" t="s">
        <v>66</v>
      </c>
      <c r="AA130" s="291" t="s">
        <v>66</v>
      </c>
      <c r="AB130" s="46">
        <v>2.1</v>
      </c>
      <c r="AC130" s="35">
        <v>12</v>
      </c>
      <c r="AD130" s="35">
        <v>5.75</v>
      </c>
      <c r="AE130" s="72">
        <v>5.75</v>
      </c>
      <c r="AF130" s="44"/>
      <c r="AG130" s="569"/>
      <c r="AH130" s="570"/>
      <c r="AI130" s="569"/>
      <c r="AJ130" s="178"/>
      <c r="AK130" s="569"/>
      <c r="AL130" s="569"/>
      <c r="AM130" s="569"/>
      <c r="AN130" s="569"/>
      <c r="AO130" s="569"/>
      <c r="AP130" s="20" t="s">
        <v>1839</v>
      </c>
      <c r="AQ130" s="16" t="s">
        <v>937</v>
      </c>
    </row>
    <row r="131" spans="1:43" s="16" customFormat="1" x14ac:dyDescent="0.25">
      <c r="A131" s="20" t="s">
        <v>865</v>
      </c>
      <c r="B131" s="20"/>
      <c r="C131" s="132" t="s">
        <v>1037</v>
      </c>
      <c r="D131" s="4" t="s">
        <v>649</v>
      </c>
      <c r="E131" s="132" t="s">
        <v>1048</v>
      </c>
      <c r="F131" s="20" t="s">
        <v>2356</v>
      </c>
      <c r="G131" s="20" t="s">
        <v>2265</v>
      </c>
      <c r="H131" s="5" t="s">
        <v>2348</v>
      </c>
      <c r="I131" s="20"/>
      <c r="J131" s="290"/>
      <c r="K131" s="39" t="s">
        <v>523</v>
      </c>
      <c r="L131" s="38" t="s">
        <v>327</v>
      </c>
      <c r="M131" s="687">
        <v>19.989999999999998</v>
      </c>
      <c r="N131" s="37">
        <v>1</v>
      </c>
      <c r="O131" s="281">
        <v>15</v>
      </c>
      <c r="P131" s="46">
        <f>CONVERT(0.0994,"kg","lbm")</f>
        <v>0.21913948861176832</v>
      </c>
      <c r="Q131" s="549">
        <f>CONVERT(191,"mm","in")</f>
        <v>7.5196850393700787</v>
      </c>
      <c r="R131" s="549">
        <f>CONVERT(75,"mm","in")</f>
        <v>2.9527559055118111</v>
      </c>
      <c r="S131" s="550">
        <v>2</v>
      </c>
      <c r="T131" s="46">
        <v>0.21913948861176832</v>
      </c>
      <c r="U131" s="35">
        <v>8.875</v>
      </c>
      <c r="V131" s="35">
        <v>1.75</v>
      </c>
      <c r="W131" s="72">
        <v>1.375</v>
      </c>
      <c r="X131" s="94" t="s">
        <v>66</v>
      </c>
      <c r="Y131" s="93" t="s">
        <v>66</v>
      </c>
      <c r="Z131" s="93" t="s">
        <v>66</v>
      </c>
      <c r="AA131" s="291" t="s">
        <v>66</v>
      </c>
      <c r="AB131" s="46">
        <v>3.75</v>
      </c>
      <c r="AC131" s="35">
        <v>5</v>
      </c>
      <c r="AD131" s="35">
        <v>9.75</v>
      </c>
      <c r="AE131" s="72">
        <v>9</v>
      </c>
      <c r="AF131" s="44"/>
      <c r="AG131" s="569"/>
      <c r="AH131" s="570"/>
      <c r="AI131" s="569"/>
      <c r="AJ131" s="178"/>
      <c r="AK131" s="569"/>
      <c r="AL131" s="569"/>
      <c r="AM131" s="569"/>
      <c r="AN131" s="569"/>
      <c r="AO131" s="569"/>
      <c r="AP131" s="20" t="s">
        <v>1839</v>
      </c>
      <c r="AQ131" s="16" t="s">
        <v>937</v>
      </c>
    </row>
    <row r="132" spans="1:43" s="16" customFormat="1" x14ac:dyDescent="0.25">
      <c r="A132" s="20" t="s">
        <v>865</v>
      </c>
      <c r="B132" s="20"/>
      <c r="C132" s="132" t="s">
        <v>1039</v>
      </c>
      <c r="D132" s="4" t="s">
        <v>649</v>
      </c>
      <c r="E132" s="132" t="s">
        <v>1050</v>
      </c>
      <c r="F132" s="20" t="s">
        <v>2357</v>
      </c>
      <c r="G132" s="20" t="s">
        <v>2265</v>
      </c>
      <c r="H132" s="5" t="s">
        <v>2349</v>
      </c>
      <c r="I132" s="20"/>
      <c r="J132" s="290"/>
      <c r="K132" s="39" t="s">
        <v>523</v>
      </c>
      <c r="L132" s="38" t="s">
        <v>327</v>
      </c>
      <c r="M132" s="687">
        <v>24.99</v>
      </c>
      <c r="N132" s="37">
        <v>1</v>
      </c>
      <c r="O132" s="281">
        <v>15</v>
      </c>
      <c r="P132" s="46">
        <f>CONVERT(0.096,"kg","lbm")</f>
        <v>0.21164377169748247</v>
      </c>
      <c r="Q132" s="549">
        <f>CONVERT(203,"mm","in")</f>
        <v>7.9921259842519685</v>
      </c>
      <c r="R132" s="549">
        <f>CONVERT(88,"mm","in")</f>
        <v>3.4645669291338583</v>
      </c>
      <c r="S132" s="550">
        <v>1.3</v>
      </c>
      <c r="T132" s="46">
        <v>0.21164377169748247</v>
      </c>
      <c r="U132" s="35">
        <v>8.875</v>
      </c>
      <c r="V132" s="35">
        <v>1.75</v>
      </c>
      <c r="W132" s="72">
        <v>1.375</v>
      </c>
      <c r="X132" s="94" t="s">
        <v>66</v>
      </c>
      <c r="Y132" s="93" t="s">
        <v>66</v>
      </c>
      <c r="Z132" s="93" t="s">
        <v>66</v>
      </c>
      <c r="AA132" s="291" t="s">
        <v>66</v>
      </c>
      <c r="AB132" s="46">
        <v>3.65</v>
      </c>
      <c r="AC132" s="35">
        <v>5</v>
      </c>
      <c r="AD132" s="35">
        <v>9.75</v>
      </c>
      <c r="AE132" s="72">
        <v>9</v>
      </c>
      <c r="AF132" s="44"/>
      <c r="AG132" s="569"/>
      <c r="AH132" s="570"/>
      <c r="AI132" s="569"/>
      <c r="AJ132" s="178"/>
      <c r="AK132" s="569"/>
      <c r="AL132" s="569"/>
      <c r="AM132" s="569"/>
      <c r="AN132" s="569"/>
      <c r="AO132" s="569"/>
      <c r="AP132" s="20" t="s">
        <v>1839</v>
      </c>
      <c r="AQ132" s="16" t="s">
        <v>937</v>
      </c>
    </row>
    <row r="133" spans="1:43" s="16" customFormat="1" x14ac:dyDescent="0.25">
      <c r="A133" s="20" t="s">
        <v>865</v>
      </c>
      <c r="B133" s="20"/>
      <c r="C133" s="132" t="s">
        <v>1034</v>
      </c>
      <c r="D133" s="4" t="s">
        <v>621</v>
      </c>
      <c r="E133" s="132" t="s">
        <v>1045</v>
      </c>
      <c r="F133" s="20" t="s">
        <v>2358</v>
      </c>
      <c r="G133" s="20" t="s">
        <v>2265</v>
      </c>
      <c r="H133" s="5" t="s">
        <v>2350</v>
      </c>
      <c r="I133" s="20"/>
      <c r="J133" s="290"/>
      <c r="K133" s="39" t="s">
        <v>523</v>
      </c>
      <c r="L133" s="38" t="s">
        <v>327</v>
      </c>
      <c r="M133" s="687">
        <v>19.989999999999998</v>
      </c>
      <c r="N133" s="37">
        <v>1</v>
      </c>
      <c r="O133" s="281">
        <v>15</v>
      </c>
      <c r="P133" s="46">
        <f>CONVERT(0.1391,"kg","lbm")</f>
        <v>0.30666300669916469</v>
      </c>
      <c r="Q133" s="549">
        <f>CONVERT(193,"mm","in")</f>
        <v>7.5984251968503944</v>
      </c>
      <c r="R133" s="549">
        <f>CONVERT(75,"mm","in")</f>
        <v>2.9527559055118111</v>
      </c>
      <c r="S133" s="550">
        <v>3.1</v>
      </c>
      <c r="T133" s="46">
        <v>0.30666300669916469</v>
      </c>
      <c r="U133" s="35">
        <v>8.875</v>
      </c>
      <c r="V133" s="35">
        <v>1.75</v>
      </c>
      <c r="W133" s="72">
        <v>1.375</v>
      </c>
      <c r="X133" s="94" t="s">
        <v>66</v>
      </c>
      <c r="Y133" s="93" t="s">
        <v>66</v>
      </c>
      <c r="Z133" s="93" t="s">
        <v>66</v>
      </c>
      <c r="AA133" s="291" t="s">
        <v>66</v>
      </c>
      <c r="AB133" s="134"/>
      <c r="AC133" s="35">
        <v>5</v>
      </c>
      <c r="AD133" s="35">
        <v>9.75</v>
      </c>
      <c r="AE133" s="72">
        <v>9</v>
      </c>
      <c r="AF133" s="44"/>
      <c r="AG133" s="569"/>
      <c r="AH133" s="570"/>
      <c r="AI133" s="569"/>
      <c r="AJ133" s="178"/>
      <c r="AK133" s="569"/>
      <c r="AL133" s="569"/>
      <c r="AM133" s="569"/>
      <c r="AN133" s="569"/>
      <c r="AO133" s="569"/>
      <c r="AP133" s="20" t="s">
        <v>1839</v>
      </c>
      <c r="AQ133" s="16" t="s">
        <v>937</v>
      </c>
    </row>
    <row r="134" spans="1:43" s="16" customFormat="1" x14ac:dyDescent="0.25">
      <c r="A134" s="20" t="s">
        <v>865</v>
      </c>
      <c r="B134" s="20"/>
      <c r="C134" s="132" t="s">
        <v>1036</v>
      </c>
      <c r="D134" s="4" t="s">
        <v>649</v>
      </c>
      <c r="E134" s="132" t="s">
        <v>1047</v>
      </c>
      <c r="F134" s="20" t="s">
        <v>2359</v>
      </c>
      <c r="G134" s="20" t="s">
        <v>2265</v>
      </c>
      <c r="H134" s="5" t="s">
        <v>2351</v>
      </c>
      <c r="I134" s="20"/>
      <c r="J134" s="290"/>
      <c r="K134" s="39" t="s">
        <v>523</v>
      </c>
      <c r="L134" s="38" t="s">
        <v>327</v>
      </c>
      <c r="M134" s="687">
        <v>19.989999999999998</v>
      </c>
      <c r="N134" s="37">
        <v>1</v>
      </c>
      <c r="O134" s="281">
        <v>15</v>
      </c>
      <c r="P134" s="46">
        <f>CONVERT(0.1138,"kg","lbm")</f>
        <v>0.25088605436639072</v>
      </c>
      <c r="Q134" s="549">
        <f>CONVERT(206,"mm","in")</f>
        <v>8.1102362204724407</v>
      </c>
      <c r="R134" s="549">
        <f>CONVERT(91,"mm","in")</f>
        <v>3.5826771653543306</v>
      </c>
      <c r="S134" s="550">
        <v>2</v>
      </c>
      <c r="T134" s="46">
        <v>0.25088605436639067</v>
      </c>
      <c r="U134" s="35">
        <v>8.875</v>
      </c>
      <c r="V134" s="35">
        <v>1.75</v>
      </c>
      <c r="W134" s="72">
        <v>1.375</v>
      </c>
      <c r="X134" s="94" t="s">
        <v>66</v>
      </c>
      <c r="Y134" s="93" t="s">
        <v>66</v>
      </c>
      <c r="Z134" s="93" t="s">
        <v>66</v>
      </c>
      <c r="AA134" s="291" t="s">
        <v>66</v>
      </c>
      <c r="AB134" s="46">
        <v>4.2</v>
      </c>
      <c r="AC134" s="35">
        <v>5</v>
      </c>
      <c r="AD134" s="35">
        <v>9.75</v>
      </c>
      <c r="AE134" s="72">
        <v>9</v>
      </c>
      <c r="AF134" s="44"/>
      <c r="AG134" s="569"/>
      <c r="AH134" s="570"/>
      <c r="AI134" s="569"/>
      <c r="AJ134" s="178"/>
      <c r="AK134" s="569"/>
      <c r="AL134" s="569"/>
      <c r="AM134" s="569"/>
      <c r="AN134" s="569"/>
      <c r="AO134" s="569"/>
      <c r="AP134" s="20" t="s">
        <v>1839</v>
      </c>
      <c r="AQ134" s="16" t="s">
        <v>937</v>
      </c>
    </row>
    <row r="135" spans="1:43" s="16" customFormat="1" x14ac:dyDescent="0.25">
      <c r="A135" s="20" t="s">
        <v>865</v>
      </c>
      <c r="B135" s="20"/>
      <c r="C135" s="132" t="s">
        <v>1038</v>
      </c>
      <c r="D135" s="4" t="s">
        <v>621</v>
      </c>
      <c r="E135" s="132" t="s">
        <v>1049</v>
      </c>
      <c r="F135" s="20" t="s">
        <v>2606</v>
      </c>
      <c r="G135" s="20" t="s">
        <v>2265</v>
      </c>
      <c r="H135" s="5" t="s">
        <v>2352</v>
      </c>
      <c r="I135" s="20"/>
      <c r="J135" s="290"/>
      <c r="K135" s="39" t="s">
        <v>523</v>
      </c>
      <c r="L135" s="38" t="s">
        <v>327</v>
      </c>
      <c r="M135" s="687">
        <v>19.989999999999998</v>
      </c>
      <c r="N135" s="37">
        <v>1</v>
      </c>
      <c r="O135" s="281">
        <v>15</v>
      </c>
      <c r="P135" s="46">
        <f>CONVERT(0.1395,"kg","lbm")</f>
        <v>0.30754485574790424</v>
      </c>
      <c r="Q135" s="549">
        <f>CONVERT(206,"mm","in")</f>
        <v>8.1102362204724407</v>
      </c>
      <c r="R135" s="549">
        <f>CONVERT(91,"mm","in")</f>
        <v>3.5826771653543306</v>
      </c>
      <c r="S135" s="550">
        <v>3.2</v>
      </c>
      <c r="T135" s="46">
        <v>0.30754485574790419</v>
      </c>
      <c r="U135" s="35">
        <v>8.875</v>
      </c>
      <c r="V135" s="35">
        <v>1.75</v>
      </c>
      <c r="W135" s="72">
        <v>1.375</v>
      </c>
      <c r="X135" s="94" t="s">
        <v>66</v>
      </c>
      <c r="Y135" s="93" t="s">
        <v>66</v>
      </c>
      <c r="Z135" s="93" t="s">
        <v>66</v>
      </c>
      <c r="AA135" s="291" t="s">
        <v>66</v>
      </c>
      <c r="AB135" s="46">
        <v>4.8499999999999996</v>
      </c>
      <c r="AC135" s="35">
        <v>5</v>
      </c>
      <c r="AD135" s="35">
        <v>9.75</v>
      </c>
      <c r="AE135" s="72">
        <v>9</v>
      </c>
      <c r="AF135" s="44"/>
      <c r="AG135" s="569"/>
      <c r="AH135" s="570"/>
      <c r="AI135" s="569"/>
      <c r="AJ135" s="178"/>
      <c r="AK135" s="569"/>
      <c r="AL135" s="569"/>
      <c r="AM135" s="569"/>
      <c r="AN135" s="569"/>
      <c r="AO135" s="569"/>
      <c r="AP135" s="20" t="s">
        <v>1839</v>
      </c>
      <c r="AQ135" s="16" t="s">
        <v>937</v>
      </c>
    </row>
    <row r="136" spans="1:43" s="16" customFormat="1" x14ac:dyDescent="0.25">
      <c r="A136" s="20" t="s">
        <v>865</v>
      </c>
      <c r="B136" s="20"/>
      <c r="C136" s="132" t="s">
        <v>1029</v>
      </c>
      <c r="D136" s="4" t="s">
        <v>621</v>
      </c>
      <c r="E136" s="132" t="s">
        <v>1040</v>
      </c>
      <c r="F136" s="20" t="s">
        <v>54</v>
      </c>
      <c r="G136" s="20" t="s">
        <v>2265</v>
      </c>
      <c r="H136" s="5" t="s">
        <v>1080</v>
      </c>
      <c r="I136" s="20"/>
      <c r="J136" s="290"/>
      <c r="K136" s="39" t="s">
        <v>523</v>
      </c>
      <c r="L136" s="38" t="s">
        <v>327</v>
      </c>
      <c r="M136" s="687">
        <v>9.99</v>
      </c>
      <c r="N136" s="37">
        <v>1</v>
      </c>
      <c r="O136" s="281">
        <v>15</v>
      </c>
      <c r="P136" s="46">
        <f>CONVERT(0.1095,"kg","lbm")</f>
        <v>0.24140617709244094</v>
      </c>
      <c r="Q136" s="549">
        <f>CONVERT(206,"mm","in")</f>
        <v>8.1102362204724407</v>
      </c>
      <c r="R136" s="549">
        <f>CONVERT(91,"mm","in")</f>
        <v>3.5826771653543306</v>
      </c>
      <c r="S136" s="550">
        <v>2</v>
      </c>
      <c r="T136" s="46">
        <v>0.24140617709244094</v>
      </c>
      <c r="U136" s="35">
        <v>8.875</v>
      </c>
      <c r="V136" s="35">
        <v>1.75</v>
      </c>
      <c r="W136" s="72">
        <v>1.375</v>
      </c>
      <c r="X136" s="94" t="s">
        <v>66</v>
      </c>
      <c r="Y136" s="93" t="s">
        <v>66</v>
      </c>
      <c r="Z136" s="93" t="s">
        <v>66</v>
      </c>
      <c r="AA136" s="291" t="s">
        <v>66</v>
      </c>
      <c r="AB136" s="46">
        <v>4.0999999999999996</v>
      </c>
      <c r="AC136" s="35">
        <v>5</v>
      </c>
      <c r="AD136" s="35">
        <v>9.75</v>
      </c>
      <c r="AE136" s="72">
        <v>9</v>
      </c>
      <c r="AF136" s="44"/>
      <c r="AG136" s="569"/>
      <c r="AH136" s="570"/>
      <c r="AI136" s="569"/>
      <c r="AJ136" s="178"/>
      <c r="AK136" s="569"/>
      <c r="AL136" s="569"/>
      <c r="AM136" s="569"/>
      <c r="AN136" s="569"/>
      <c r="AO136" s="569"/>
      <c r="AP136" s="20" t="s">
        <v>1839</v>
      </c>
      <c r="AQ136" s="16" t="s">
        <v>937</v>
      </c>
    </row>
    <row r="137" spans="1:43" s="16" customFormat="1" x14ac:dyDescent="0.25">
      <c r="A137" s="20" t="s">
        <v>865</v>
      </c>
      <c r="B137" s="20"/>
      <c r="C137" s="132" t="s">
        <v>1030</v>
      </c>
      <c r="D137" s="4" t="s">
        <v>649</v>
      </c>
      <c r="E137" s="132" t="s">
        <v>1041</v>
      </c>
      <c r="F137" s="20" t="s">
        <v>49</v>
      </c>
      <c r="G137" s="20" t="s">
        <v>2265</v>
      </c>
      <c r="H137" s="5" t="s">
        <v>2353</v>
      </c>
      <c r="I137" s="20"/>
      <c r="J137" s="290"/>
      <c r="K137" s="39" t="s">
        <v>523</v>
      </c>
      <c r="L137" s="38" t="s">
        <v>327</v>
      </c>
      <c r="M137" s="687">
        <v>11.99</v>
      </c>
      <c r="N137" s="37">
        <v>1</v>
      </c>
      <c r="O137" s="281">
        <v>15</v>
      </c>
      <c r="P137" s="46">
        <f>CONVERT(0.117,"kg","lbm")</f>
        <v>0.2579408467563068</v>
      </c>
      <c r="Q137" s="549">
        <f>CONVERT(206,"mm","in")</f>
        <v>8.1102362204724407</v>
      </c>
      <c r="R137" s="549">
        <f>CONVERT(91,"mm","in")</f>
        <v>3.5826771653543306</v>
      </c>
      <c r="S137" s="550">
        <v>2</v>
      </c>
      <c r="T137" s="46">
        <v>0.25794084675630674</v>
      </c>
      <c r="U137" s="35">
        <v>8.875</v>
      </c>
      <c r="V137" s="35">
        <v>1.75</v>
      </c>
      <c r="W137" s="72">
        <v>1.375</v>
      </c>
      <c r="X137" s="94" t="s">
        <v>66</v>
      </c>
      <c r="Y137" s="93" t="s">
        <v>66</v>
      </c>
      <c r="Z137" s="93" t="s">
        <v>66</v>
      </c>
      <c r="AA137" s="291" t="s">
        <v>66</v>
      </c>
      <c r="AB137" s="46">
        <v>4.0999999999999996</v>
      </c>
      <c r="AC137" s="35">
        <v>5</v>
      </c>
      <c r="AD137" s="35">
        <v>9.75</v>
      </c>
      <c r="AE137" s="72">
        <v>9</v>
      </c>
      <c r="AF137" s="44"/>
      <c r="AG137" s="569"/>
      <c r="AH137" s="570"/>
      <c r="AI137" s="569"/>
      <c r="AJ137" s="178"/>
      <c r="AK137" s="569"/>
      <c r="AL137" s="569"/>
      <c r="AM137" s="569"/>
      <c r="AN137" s="569"/>
      <c r="AO137" s="569"/>
      <c r="AP137" s="20" t="s">
        <v>1839</v>
      </c>
      <c r="AQ137" s="16" t="s">
        <v>937</v>
      </c>
    </row>
    <row r="138" spans="1:43" s="16" customFormat="1" x14ac:dyDescent="0.25">
      <c r="A138" s="20" t="s">
        <v>865</v>
      </c>
      <c r="B138" s="20"/>
      <c r="C138" s="132" t="s">
        <v>1031</v>
      </c>
      <c r="D138" s="4" t="s">
        <v>621</v>
      </c>
      <c r="E138" s="132" t="s">
        <v>1042</v>
      </c>
      <c r="F138" s="20" t="s">
        <v>50</v>
      </c>
      <c r="G138" s="20" t="s">
        <v>2265</v>
      </c>
      <c r="H138" s="5" t="s">
        <v>2361</v>
      </c>
      <c r="I138" s="20"/>
      <c r="J138" s="290"/>
      <c r="K138" s="39" t="s">
        <v>523</v>
      </c>
      <c r="L138" s="38" t="s">
        <v>327</v>
      </c>
      <c r="M138" s="687">
        <v>14.99</v>
      </c>
      <c r="N138" s="37">
        <v>1</v>
      </c>
      <c r="O138" s="281">
        <v>15</v>
      </c>
      <c r="P138" s="46">
        <f>CONVERT(0.109,"kg","lbm")</f>
        <v>0.24030386578151655</v>
      </c>
      <c r="Q138" s="549">
        <f>CONVERT(198,"mm","in")</f>
        <v>7.7952755905511815</v>
      </c>
      <c r="R138" s="549">
        <f>CONVERT(82,"mm","in")</f>
        <v>3.2283464566929134</v>
      </c>
      <c r="S138" s="550">
        <v>2</v>
      </c>
      <c r="T138" s="46">
        <v>0.24030386578151655</v>
      </c>
      <c r="U138" s="35">
        <v>8.875</v>
      </c>
      <c r="V138" s="35">
        <v>1.75</v>
      </c>
      <c r="W138" s="72">
        <v>1.375</v>
      </c>
      <c r="X138" s="94" t="s">
        <v>66</v>
      </c>
      <c r="Y138" s="93" t="s">
        <v>66</v>
      </c>
      <c r="Z138" s="93" t="s">
        <v>66</v>
      </c>
      <c r="AA138" s="291" t="s">
        <v>66</v>
      </c>
      <c r="AB138" s="46">
        <v>4.0999999999999996</v>
      </c>
      <c r="AC138" s="35">
        <v>5</v>
      </c>
      <c r="AD138" s="35">
        <v>9.75</v>
      </c>
      <c r="AE138" s="72">
        <v>9</v>
      </c>
      <c r="AF138" s="44"/>
      <c r="AG138" s="569"/>
      <c r="AH138" s="570"/>
      <c r="AI138" s="569"/>
      <c r="AJ138" s="178"/>
      <c r="AK138" s="569"/>
      <c r="AL138" s="569"/>
      <c r="AM138" s="569"/>
      <c r="AN138" s="569"/>
      <c r="AO138" s="569"/>
      <c r="AP138" s="20" t="s">
        <v>1839</v>
      </c>
      <c r="AQ138" s="16" t="s">
        <v>937</v>
      </c>
    </row>
    <row r="139" spans="1:43" s="16" customFormat="1" x14ac:dyDescent="0.25">
      <c r="A139" s="20" t="s">
        <v>865</v>
      </c>
      <c r="B139" s="20"/>
      <c r="C139" s="132" t="s">
        <v>1035</v>
      </c>
      <c r="D139" s="4" t="s">
        <v>649</v>
      </c>
      <c r="E139" s="132" t="s">
        <v>1046</v>
      </c>
      <c r="F139" s="20" t="s">
        <v>2362</v>
      </c>
      <c r="G139" s="20" t="s">
        <v>2265</v>
      </c>
      <c r="H139" s="5" t="s">
        <v>2363</v>
      </c>
      <c r="I139" s="20"/>
      <c r="J139" s="290"/>
      <c r="K139" s="39" t="s">
        <v>523</v>
      </c>
      <c r="L139" s="38" t="s">
        <v>327</v>
      </c>
      <c r="M139" s="687">
        <v>19.989999999999998</v>
      </c>
      <c r="N139" s="37">
        <v>1</v>
      </c>
      <c r="O139" s="281">
        <v>15</v>
      </c>
      <c r="P139" s="46">
        <f>CONVERT(0.0877,"kg","lbm")</f>
        <v>0.19334540393613764</v>
      </c>
      <c r="Q139" s="549">
        <f>CONVERT(154,"mm","in")</f>
        <v>6.0629921259842527</v>
      </c>
      <c r="R139" s="549">
        <f>CONVERT(21,"mm","in")</f>
        <v>0.82677165354330717</v>
      </c>
      <c r="S139" s="550">
        <v>1.4</v>
      </c>
      <c r="T139" s="46">
        <v>0.19334540393613764</v>
      </c>
      <c r="U139" s="35">
        <v>7.5</v>
      </c>
      <c r="V139" s="35">
        <v>1.75</v>
      </c>
      <c r="W139" s="72">
        <v>1.875</v>
      </c>
      <c r="X139" s="94" t="s">
        <v>66</v>
      </c>
      <c r="Y139" s="93" t="s">
        <v>66</v>
      </c>
      <c r="Z139" s="93" t="s">
        <v>66</v>
      </c>
      <c r="AA139" s="291" t="s">
        <v>66</v>
      </c>
      <c r="AB139" s="46">
        <v>3.3</v>
      </c>
      <c r="AC139" s="35">
        <v>5</v>
      </c>
      <c r="AD139" s="35">
        <v>9.75</v>
      </c>
      <c r="AE139" s="72">
        <v>9</v>
      </c>
      <c r="AF139" s="44"/>
      <c r="AG139" s="569"/>
      <c r="AH139" s="570"/>
      <c r="AI139" s="569"/>
      <c r="AJ139" s="178"/>
      <c r="AK139" s="569"/>
      <c r="AL139" s="569"/>
      <c r="AM139" s="569"/>
      <c r="AN139" s="569"/>
      <c r="AO139" s="569"/>
      <c r="AP139" s="20" t="s">
        <v>1839</v>
      </c>
      <c r="AQ139" s="16" t="s">
        <v>937</v>
      </c>
    </row>
    <row r="140" spans="1:43" s="16" customFormat="1" x14ac:dyDescent="0.25">
      <c r="A140" s="20" t="s">
        <v>865</v>
      </c>
      <c r="B140" s="20" t="s">
        <v>3209</v>
      </c>
      <c r="C140" s="132" t="s">
        <v>3206</v>
      </c>
      <c r="D140" s="4" t="s">
        <v>649</v>
      </c>
      <c r="E140" s="132" t="s">
        <v>3207</v>
      </c>
      <c r="F140" s="20" t="s">
        <v>390</v>
      </c>
      <c r="G140" s="20" t="s">
        <v>2265</v>
      </c>
      <c r="H140" s="5" t="s">
        <v>3208</v>
      </c>
      <c r="I140" s="20"/>
      <c r="J140" s="290"/>
      <c r="K140" s="39" t="s">
        <v>523</v>
      </c>
      <c r="L140" s="38" t="s">
        <v>327</v>
      </c>
      <c r="M140" s="793"/>
      <c r="N140" s="37">
        <v>1</v>
      </c>
      <c r="O140" s="281">
        <v>15</v>
      </c>
      <c r="P140" s="46">
        <v>0.21</v>
      </c>
      <c r="Q140" s="549">
        <v>6.3</v>
      </c>
      <c r="R140" s="549">
        <v>1.7</v>
      </c>
      <c r="S140" s="550">
        <v>2</v>
      </c>
      <c r="T140" s="46">
        <v>0.2</v>
      </c>
      <c r="U140" s="35">
        <v>7.5</v>
      </c>
      <c r="V140" s="35">
        <v>1.25</v>
      </c>
      <c r="W140" s="72">
        <v>1.25</v>
      </c>
      <c r="X140" s="94" t="s">
        <v>66</v>
      </c>
      <c r="Y140" s="93" t="s">
        <v>66</v>
      </c>
      <c r="Z140" s="93" t="s">
        <v>66</v>
      </c>
      <c r="AA140" s="291" t="s">
        <v>66</v>
      </c>
      <c r="AB140" s="46">
        <v>3.55</v>
      </c>
      <c r="AC140" s="35">
        <v>9.75</v>
      </c>
      <c r="AD140" s="35">
        <v>5</v>
      </c>
      <c r="AE140" s="72">
        <v>9</v>
      </c>
      <c r="AF140" s="44"/>
      <c r="AG140" s="569"/>
      <c r="AH140" s="570"/>
      <c r="AI140" s="569"/>
      <c r="AJ140" s="178"/>
      <c r="AK140" s="569"/>
      <c r="AL140" s="569"/>
      <c r="AM140" s="569"/>
      <c r="AN140" s="569"/>
      <c r="AO140" s="569"/>
      <c r="AP140" s="20" t="s">
        <v>1839</v>
      </c>
      <c r="AQ140" s="16" t="s">
        <v>937</v>
      </c>
    </row>
    <row r="141" spans="1:43" s="16" customFormat="1" x14ac:dyDescent="0.25">
      <c r="A141" s="20" t="s">
        <v>865</v>
      </c>
      <c r="B141" s="20"/>
      <c r="C141" s="4" t="s">
        <v>440</v>
      </c>
      <c r="D141" s="4" t="s">
        <v>621</v>
      </c>
      <c r="E141" s="4" t="s">
        <v>2339</v>
      </c>
      <c r="F141" s="20" t="s">
        <v>588</v>
      </c>
      <c r="G141" s="20" t="s">
        <v>2265</v>
      </c>
      <c r="H141" s="5" t="s">
        <v>482</v>
      </c>
      <c r="I141" s="20"/>
      <c r="J141" s="290"/>
      <c r="K141" s="39" t="s">
        <v>523</v>
      </c>
      <c r="L141" s="38" t="s">
        <v>327</v>
      </c>
      <c r="M141" s="685">
        <v>15.99</v>
      </c>
      <c r="N141" s="37">
        <v>1</v>
      </c>
      <c r="O141" s="281">
        <v>15</v>
      </c>
      <c r="P141" s="46">
        <f>CONVERT(0.123,"kg","lbm")</f>
        <v>0.27116858248739945</v>
      </c>
      <c r="Q141" s="549">
        <f>CONVERT(225,"mm","in")</f>
        <v>8.8582677165354333</v>
      </c>
      <c r="R141" s="549">
        <f>CONVERT(102,"mm","in")</f>
        <v>4.015748031496063</v>
      </c>
      <c r="S141" s="550">
        <v>2.5</v>
      </c>
      <c r="T141" s="46">
        <v>0.27116858248739939</v>
      </c>
      <c r="U141" s="35">
        <v>9.5</v>
      </c>
      <c r="V141" s="35">
        <v>2</v>
      </c>
      <c r="W141" s="72">
        <v>1.4</v>
      </c>
      <c r="X141" s="94" t="s">
        <v>66</v>
      </c>
      <c r="Y141" s="93" t="s">
        <v>66</v>
      </c>
      <c r="Z141" s="93" t="s">
        <v>66</v>
      </c>
      <c r="AA141" s="291" t="s">
        <v>66</v>
      </c>
      <c r="AB141" s="46">
        <v>4.5</v>
      </c>
      <c r="AC141" s="35">
        <v>9.75</v>
      </c>
      <c r="AD141" s="35">
        <v>5</v>
      </c>
      <c r="AE141" s="72">
        <v>10.25</v>
      </c>
      <c r="AF141" s="44">
        <f>AC141*AD141*AE141/(12^3)</f>
        <v>0.28917100694444442</v>
      </c>
      <c r="AG141" s="86" t="s">
        <v>529</v>
      </c>
      <c r="AH141" s="85" t="s">
        <v>592</v>
      </c>
      <c r="AI141" s="86" t="s">
        <v>589</v>
      </c>
      <c r="AJ141" s="39" t="s">
        <v>593</v>
      </c>
      <c r="AK141" s="20"/>
      <c r="AL141" s="20"/>
      <c r="AM141" s="20"/>
      <c r="AN141" s="20"/>
      <c r="AO141" s="86" t="s">
        <v>590</v>
      </c>
      <c r="AP141" s="20" t="s">
        <v>1839</v>
      </c>
      <c r="AQ141" s="16" t="s">
        <v>937</v>
      </c>
    </row>
    <row r="142" spans="1:43" s="16" customFormat="1" x14ac:dyDescent="0.25">
      <c r="A142" s="20" t="s">
        <v>865</v>
      </c>
      <c r="B142" s="20"/>
      <c r="C142" s="4" t="s">
        <v>441</v>
      </c>
      <c r="D142" s="4" t="s">
        <v>649</v>
      </c>
      <c r="E142" s="4" t="s">
        <v>2340</v>
      </c>
      <c r="F142" s="20" t="s">
        <v>390</v>
      </c>
      <c r="G142" s="20" t="s">
        <v>2265</v>
      </c>
      <c r="H142" s="5" t="s">
        <v>483</v>
      </c>
      <c r="I142" s="20"/>
      <c r="J142" s="290"/>
      <c r="K142" s="39" t="s">
        <v>523</v>
      </c>
      <c r="L142" s="38" t="s">
        <v>327</v>
      </c>
      <c r="M142" s="685">
        <v>17.989999999999998</v>
      </c>
      <c r="N142" s="37">
        <v>1</v>
      </c>
      <c r="O142" s="281">
        <v>15</v>
      </c>
      <c r="P142" s="46">
        <f>CONVERT(0.123,"kg","lbm")</f>
        <v>0.27116858248739945</v>
      </c>
      <c r="Q142" s="549">
        <f>CONVERT(225,"mm","in")</f>
        <v>8.8582677165354333</v>
      </c>
      <c r="R142" s="549">
        <f>CONVERT(102,"mm","in")</f>
        <v>4.015748031496063</v>
      </c>
      <c r="S142" s="550">
        <v>2.5</v>
      </c>
      <c r="T142" s="46">
        <v>0.27116858248739939</v>
      </c>
      <c r="U142" s="35">
        <v>9.5</v>
      </c>
      <c r="V142" s="35">
        <v>2</v>
      </c>
      <c r="W142" s="72">
        <v>1.4</v>
      </c>
      <c r="X142" s="94" t="s">
        <v>66</v>
      </c>
      <c r="Y142" s="93" t="s">
        <v>66</v>
      </c>
      <c r="Z142" s="93" t="s">
        <v>66</v>
      </c>
      <c r="AA142" s="291" t="s">
        <v>66</v>
      </c>
      <c r="AB142" s="46">
        <v>4.5</v>
      </c>
      <c r="AC142" s="35">
        <v>9.75</v>
      </c>
      <c r="AD142" s="35">
        <v>5</v>
      </c>
      <c r="AE142" s="72">
        <v>10.25</v>
      </c>
      <c r="AF142" s="44">
        <f>AC142*AD142*AE142/(12^3)</f>
        <v>0.28917100694444442</v>
      </c>
      <c r="AG142" s="86" t="s">
        <v>531</v>
      </c>
      <c r="AH142" s="85" t="s">
        <v>592</v>
      </c>
      <c r="AI142" s="86" t="s">
        <v>589</v>
      </c>
      <c r="AJ142" s="39" t="s">
        <v>593</v>
      </c>
      <c r="AK142" s="20"/>
      <c r="AL142" s="20"/>
      <c r="AM142" s="20"/>
      <c r="AN142" s="20"/>
      <c r="AO142" s="86" t="s">
        <v>591</v>
      </c>
      <c r="AP142" s="20" t="s">
        <v>1839</v>
      </c>
      <c r="AQ142" s="16" t="s">
        <v>937</v>
      </c>
    </row>
    <row r="143" spans="1:43" s="16" customFormat="1" x14ac:dyDescent="0.25">
      <c r="A143" s="20" t="s">
        <v>865</v>
      </c>
      <c r="B143" s="20"/>
      <c r="C143" s="4" t="s">
        <v>628</v>
      </c>
      <c r="D143" s="4" t="s">
        <v>621</v>
      </c>
      <c r="E143" s="4" t="s">
        <v>2341</v>
      </c>
      <c r="F143" s="20" t="s">
        <v>588</v>
      </c>
      <c r="G143" s="20" t="s">
        <v>1485</v>
      </c>
      <c r="H143" s="5" t="s">
        <v>484</v>
      </c>
      <c r="I143" s="20"/>
      <c r="J143" s="290"/>
      <c r="K143" s="39" t="s">
        <v>523</v>
      </c>
      <c r="L143" s="38" t="s">
        <v>327</v>
      </c>
      <c r="M143" s="685">
        <v>24.99</v>
      </c>
      <c r="N143" s="37">
        <v>1</v>
      </c>
      <c r="O143" s="281">
        <v>10</v>
      </c>
      <c r="P143" s="46">
        <f>CONVERT(0.16,"kg","lbm")</f>
        <v>0.35273961949580412</v>
      </c>
      <c r="Q143" s="549">
        <f>CONVERT(275,"mm","in")</f>
        <v>10.826771653543307</v>
      </c>
      <c r="R143" s="549">
        <f>CONVERT(148,"mm","in")</f>
        <v>5.8267716535433074</v>
      </c>
      <c r="S143" s="550">
        <v>2.5</v>
      </c>
      <c r="T143" s="46">
        <v>0.35273961949580412</v>
      </c>
      <c r="U143" s="35">
        <v>11.875</v>
      </c>
      <c r="V143" s="35">
        <v>1.75</v>
      </c>
      <c r="W143" s="72">
        <v>1.25</v>
      </c>
      <c r="X143" s="94" t="s">
        <v>66</v>
      </c>
      <c r="Y143" s="93" t="s">
        <v>66</v>
      </c>
      <c r="Z143" s="93" t="s">
        <v>66</v>
      </c>
      <c r="AA143" s="291" t="s">
        <v>66</v>
      </c>
      <c r="AB143" s="46">
        <v>3.7919509095798944</v>
      </c>
      <c r="AC143" s="35">
        <v>15</v>
      </c>
      <c r="AD143" s="35">
        <v>5.5</v>
      </c>
      <c r="AE143" s="72">
        <v>3.875</v>
      </c>
      <c r="AF143" s="44">
        <f>AC143*AD143*AE143/(12^3)</f>
        <v>0.18500434027777779</v>
      </c>
      <c r="AG143" s="86" t="s">
        <v>529</v>
      </c>
      <c r="AH143" s="85" t="s">
        <v>592</v>
      </c>
      <c r="AI143" s="86" t="s">
        <v>589</v>
      </c>
      <c r="AJ143" s="39" t="s">
        <v>593</v>
      </c>
      <c r="AK143" s="20"/>
      <c r="AL143" s="20"/>
      <c r="AM143" s="20"/>
      <c r="AN143" s="20"/>
      <c r="AO143" s="86" t="s">
        <v>538</v>
      </c>
      <c r="AP143" s="20" t="s">
        <v>1839</v>
      </c>
      <c r="AQ143" s="16" t="s">
        <v>937</v>
      </c>
    </row>
    <row r="144" spans="1:43" s="16" customFormat="1" x14ac:dyDescent="0.25">
      <c r="A144" s="20" t="s">
        <v>865</v>
      </c>
      <c r="B144" s="20"/>
      <c r="C144" s="4" t="s">
        <v>1081</v>
      </c>
      <c r="D144" s="4" t="s">
        <v>649</v>
      </c>
      <c r="E144" s="4" t="s">
        <v>2342</v>
      </c>
      <c r="F144" s="20" t="s">
        <v>2607</v>
      </c>
      <c r="G144" s="20" t="s">
        <v>1517</v>
      </c>
      <c r="H144" s="5" t="s">
        <v>1082</v>
      </c>
      <c r="I144" s="20"/>
      <c r="J144" s="290"/>
      <c r="K144" s="39" t="s">
        <v>523</v>
      </c>
      <c r="L144" s="38" t="s">
        <v>327</v>
      </c>
      <c r="M144" s="685">
        <v>34.99</v>
      </c>
      <c r="N144" s="37">
        <v>1</v>
      </c>
      <c r="O144" s="281">
        <v>15</v>
      </c>
      <c r="P144" s="46">
        <f>CONVERT(0.16,"kg","lbm")</f>
        <v>0.35273961949580412</v>
      </c>
      <c r="Q144" s="549">
        <f>CONVERT(275,"mm","in")</f>
        <v>10.826771653543307</v>
      </c>
      <c r="R144" s="549">
        <f>CONVERT(148,"mm","in")</f>
        <v>5.8267716535433074</v>
      </c>
      <c r="S144" s="550">
        <v>2.5</v>
      </c>
      <c r="T144" s="134"/>
      <c r="U144" s="135"/>
      <c r="V144" s="135"/>
      <c r="W144" s="136"/>
      <c r="X144" s="94" t="s">
        <v>66</v>
      </c>
      <c r="Y144" s="93" t="s">
        <v>66</v>
      </c>
      <c r="Z144" s="93" t="s">
        <v>66</v>
      </c>
      <c r="AA144" s="291" t="s">
        <v>66</v>
      </c>
      <c r="AB144" s="46">
        <v>6.4</v>
      </c>
      <c r="AC144" s="35">
        <v>15.5</v>
      </c>
      <c r="AD144" s="35">
        <v>8.5</v>
      </c>
      <c r="AE144" s="72">
        <v>7</v>
      </c>
      <c r="AF144" s="44"/>
      <c r="AG144" s="569"/>
      <c r="AH144" s="570"/>
      <c r="AI144" s="569"/>
      <c r="AJ144" s="178"/>
      <c r="AK144" s="290"/>
      <c r="AL144" s="290"/>
      <c r="AM144" s="290"/>
      <c r="AN144" s="290"/>
      <c r="AO144" s="569"/>
      <c r="AP144" s="20" t="s">
        <v>1839</v>
      </c>
      <c r="AQ144" s="16" t="s">
        <v>937</v>
      </c>
    </row>
    <row r="145" spans="1:43" s="16" customFormat="1" x14ac:dyDescent="0.25">
      <c r="A145" s="20" t="s">
        <v>865</v>
      </c>
      <c r="B145" s="20"/>
      <c r="C145" s="4" t="s">
        <v>442</v>
      </c>
      <c r="D145" s="4" t="s">
        <v>649</v>
      </c>
      <c r="E145" s="4" t="s">
        <v>2343</v>
      </c>
      <c r="F145" s="20" t="s">
        <v>390</v>
      </c>
      <c r="G145" s="20" t="s">
        <v>1485</v>
      </c>
      <c r="H145" s="5" t="s">
        <v>485</v>
      </c>
      <c r="I145" s="20"/>
      <c r="J145" s="290"/>
      <c r="K145" s="39" t="s">
        <v>523</v>
      </c>
      <c r="L145" s="38" t="s">
        <v>327</v>
      </c>
      <c r="M145" s="685">
        <v>34.99</v>
      </c>
      <c r="N145" s="37">
        <v>1</v>
      </c>
      <c r="O145" s="281">
        <v>10</v>
      </c>
      <c r="P145" s="46">
        <f>CONVERT(0.182,"kg","lbm")</f>
        <v>0.40124131717647721</v>
      </c>
      <c r="Q145" s="549">
        <f>CONVERT(330,"mm","in")</f>
        <v>12.992125984251969</v>
      </c>
      <c r="R145" s="549">
        <f>CONVERT(205,"mm","in")</f>
        <v>8.0708661417322833</v>
      </c>
      <c r="S145" s="550">
        <v>2.5</v>
      </c>
      <c r="T145" s="46">
        <f>CONVERT(182,"g","lbm")</f>
        <v>0.40124131717647721</v>
      </c>
      <c r="U145" s="35">
        <v>13.5</v>
      </c>
      <c r="V145" s="35">
        <v>2</v>
      </c>
      <c r="W145" s="72">
        <v>1.25</v>
      </c>
      <c r="X145" s="94" t="s">
        <v>66</v>
      </c>
      <c r="Y145" s="93" t="s">
        <v>66</v>
      </c>
      <c r="Z145" s="93" t="s">
        <v>66</v>
      </c>
      <c r="AA145" s="291" t="s">
        <v>66</v>
      </c>
      <c r="AB145" s="46">
        <v>4.2549216601681374</v>
      </c>
      <c r="AC145" s="35">
        <v>15.125</v>
      </c>
      <c r="AD145" s="35">
        <v>5.5</v>
      </c>
      <c r="AE145" s="72">
        <v>3.875</v>
      </c>
      <c r="AF145" s="44">
        <f>AC145*AD145*AE145/(12^3)</f>
        <v>0.18654604311342593</v>
      </c>
      <c r="AG145" s="86" t="s">
        <v>531</v>
      </c>
      <c r="AH145" s="85" t="s">
        <v>592</v>
      </c>
      <c r="AI145" s="86" t="s">
        <v>589</v>
      </c>
      <c r="AJ145" s="39" t="s">
        <v>593</v>
      </c>
      <c r="AK145" s="20"/>
      <c r="AL145" s="20"/>
      <c r="AM145" s="20"/>
      <c r="AN145" s="20"/>
      <c r="AO145" s="86" t="s">
        <v>538</v>
      </c>
      <c r="AP145" s="20" t="s">
        <v>1839</v>
      </c>
      <c r="AQ145" s="16" t="s">
        <v>937</v>
      </c>
    </row>
    <row r="146" spans="1:43" s="16" customFormat="1" x14ac:dyDescent="0.25">
      <c r="A146" s="20" t="s">
        <v>865</v>
      </c>
      <c r="B146" s="20"/>
      <c r="C146" s="4" t="s">
        <v>444</v>
      </c>
      <c r="D146" s="4" t="s">
        <v>649</v>
      </c>
      <c r="E146" s="4" t="s">
        <v>667</v>
      </c>
      <c r="F146" s="20" t="s">
        <v>54</v>
      </c>
      <c r="G146" s="20" t="s">
        <v>1485</v>
      </c>
      <c r="H146" s="5" t="s">
        <v>487</v>
      </c>
      <c r="I146" s="20"/>
      <c r="J146" s="290"/>
      <c r="K146" s="39" t="s">
        <v>523</v>
      </c>
      <c r="L146" s="38" t="s">
        <v>327</v>
      </c>
      <c r="M146" s="685">
        <v>34.99</v>
      </c>
      <c r="N146" s="37">
        <v>1</v>
      </c>
      <c r="O146" s="281">
        <v>10</v>
      </c>
      <c r="P146" s="46">
        <f>CONVERT(0.238,"kg","lbm")</f>
        <v>0.52470018400000862</v>
      </c>
      <c r="Q146" s="549">
        <f>CONVERT(500,"mm","in")</f>
        <v>19.685039370078741</v>
      </c>
      <c r="R146" s="549">
        <f>CONVERT(350,"mm","in")</f>
        <v>13.779527559055117</v>
      </c>
      <c r="S146" s="550">
        <v>1.4</v>
      </c>
      <c r="T146" s="46">
        <v>0.52470018400000862</v>
      </c>
      <c r="U146" s="35">
        <v>19.75</v>
      </c>
      <c r="V146" s="35">
        <v>2</v>
      </c>
      <c r="W146" s="72">
        <v>0.75</v>
      </c>
      <c r="X146" s="94" t="s">
        <v>66</v>
      </c>
      <c r="Y146" s="93" t="s">
        <v>66</v>
      </c>
      <c r="Z146" s="93" t="s">
        <v>66</v>
      </c>
      <c r="AA146" s="291" t="s">
        <v>66</v>
      </c>
      <c r="AB146" s="46">
        <v>5.7</v>
      </c>
      <c r="AC146" s="35">
        <v>21</v>
      </c>
      <c r="AD146" s="35">
        <v>6</v>
      </c>
      <c r="AE146" s="72">
        <v>2.25</v>
      </c>
      <c r="AF146" s="44">
        <f>AC146*AD146*AE146/(12^3)</f>
        <v>0.1640625</v>
      </c>
      <c r="AG146" s="20" t="s">
        <v>594</v>
      </c>
      <c r="AH146" s="20" t="s">
        <v>539</v>
      </c>
      <c r="AI146" s="20" t="s">
        <v>595</v>
      </c>
      <c r="AJ146" s="361" t="s">
        <v>596</v>
      </c>
      <c r="AK146" s="20"/>
      <c r="AL146" s="20"/>
      <c r="AM146" s="20"/>
      <c r="AN146" s="20"/>
      <c r="AO146" s="20" t="s">
        <v>597</v>
      </c>
      <c r="AP146" s="20" t="s">
        <v>1839</v>
      </c>
      <c r="AQ146" s="16" t="s">
        <v>937</v>
      </c>
    </row>
    <row r="147" spans="1:43" s="16" customFormat="1" x14ac:dyDescent="0.25">
      <c r="A147" s="20" t="s">
        <v>865</v>
      </c>
      <c r="B147" s="20"/>
      <c r="C147" s="4" t="s">
        <v>445</v>
      </c>
      <c r="D147" s="4" t="s">
        <v>621</v>
      </c>
      <c r="E147" s="4" t="s">
        <v>2344</v>
      </c>
      <c r="F147" s="20" t="s">
        <v>54</v>
      </c>
      <c r="G147" s="20" t="s">
        <v>1485</v>
      </c>
      <c r="H147" s="5" t="s">
        <v>488</v>
      </c>
      <c r="I147" s="20"/>
      <c r="J147" s="290"/>
      <c r="K147" s="39" t="s">
        <v>523</v>
      </c>
      <c r="L147" s="38" t="s">
        <v>327</v>
      </c>
      <c r="M147" s="685">
        <v>17.989999999999998</v>
      </c>
      <c r="N147" s="37">
        <v>1</v>
      </c>
      <c r="O147" s="281">
        <v>10</v>
      </c>
      <c r="P147" s="46">
        <f>CONVERT(0.088,"kg","lbm")</f>
        <v>0.19400679072269225</v>
      </c>
      <c r="Q147" s="549">
        <f>CONVERT(180,"mm","in")</f>
        <v>7.0866141732283472</v>
      </c>
      <c r="R147" s="549">
        <f>CONVERT(63,"mm","in")</f>
        <v>2.4803149606299213</v>
      </c>
      <c r="S147" s="550">
        <v>2</v>
      </c>
      <c r="T147" s="46" t="s">
        <v>1649</v>
      </c>
      <c r="U147" s="35">
        <v>8.875</v>
      </c>
      <c r="V147" s="35">
        <v>2.75</v>
      </c>
      <c r="W147" s="72">
        <v>1</v>
      </c>
      <c r="X147" s="94" t="s">
        <v>66</v>
      </c>
      <c r="Y147" s="93" t="s">
        <v>66</v>
      </c>
      <c r="Z147" s="93" t="s">
        <v>66</v>
      </c>
      <c r="AA147" s="291" t="s">
        <v>66</v>
      </c>
      <c r="AB147" s="46">
        <v>2.3368999791597025</v>
      </c>
      <c r="AC147" s="35">
        <v>14.625</v>
      </c>
      <c r="AD147" s="35">
        <v>4.875</v>
      </c>
      <c r="AE147" s="72">
        <v>3.125</v>
      </c>
      <c r="AF147" s="44">
        <f>AC147*AD147*AE147/(12^3)</f>
        <v>0.128936767578125</v>
      </c>
      <c r="AG147" s="20" t="s">
        <v>529</v>
      </c>
      <c r="AH147" s="20" t="s">
        <v>539</v>
      </c>
      <c r="AI147" s="86" t="s">
        <v>541</v>
      </c>
      <c r="AJ147" s="361" t="s">
        <v>540</v>
      </c>
      <c r="AK147" s="86" t="s">
        <v>542</v>
      </c>
      <c r="AL147" s="86"/>
      <c r="AM147" s="86"/>
      <c r="AN147" s="86"/>
      <c r="AO147" s="86" t="s">
        <v>598</v>
      </c>
      <c r="AP147" s="20" t="s">
        <v>1839</v>
      </c>
      <c r="AQ147" s="16" t="s">
        <v>937</v>
      </c>
    </row>
    <row r="148" spans="1:43" s="20" customFormat="1" ht="15.6" x14ac:dyDescent="0.3">
      <c r="A148" s="108" t="s">
        <v>435</v>
      </c>
      <c r="B148" s="108"/>
      <c r="C148" s="35"/>
      <c r="D148" s="35"/>
      <c r="E148" s="36"/>
      <c r="H148" s="265"/>
      <c r="K148" s="38"/>
      <c r="L148" s="38"/>
      <c r="M148" s="678"/>
      <c r="N148" s="37"/>
      <c r="O148" s="228"/>
      <c r="P148" s="46"/>
      <c r="Q148" s="35"/>
      <c r="R148" s="35"/>
      <c r="S148" s="72"/>
      <c r="T148" s="46"/>
      <c r="U148" s="35"/>
      <c r="V148" s="35"/>
      <c r="W148" s="72"/>
      <c r="X148" s="46"/>
      <c r="Y148" s="35"/>
      <c r="Z148" s="35"/>
      <c r="AA148" s="72"/>
      <c r="AB148" s="46"/>
      <c r="AC148" s="35"/>
      <c r="AD148" s="35"/>
      <c r="AE148" s="72"/>
      <c r="AF148" s="46"/>
    </row>
    <row r="149" spans="1:43" s="410" customFormat="1" ht="13.5" customHeight="1" x14ac:dyDescent="0.25">
      <c r="A149" s="410" t="s">
        <v>865</v>
      </c>
      <c r="C149" s="526" t="s">
        <v>443</v>
      </c>
      <c r="D149" s="526" t="s">
        <v>521</v>
      </c>
      <c r="E149" s="526" t="s">
        <v>666</v>
      </c>
      <c r="F149" s="410" t="s">
        <v>525</v>
      </c>
      <c r="G149" s="410" t="s">
        <v>1487</v>
      </c>
      <c r="H149" s="527" t="s">
        <v>486</v>
      </c>
      <c r="K149" s="421" t="s">
        <v>523</v>
      </c>
      <c r="L149" s="415" t="s">
        <v>327</v>
      </c>
      <c r="M149" s="688">
        <v>22.99</v>
      </c>
      <c r="N149" s="417">
        <v>1</v>
      </c>
      <c r="O149" s="528">
        <v>15</v>
      </c>
      <c r="P149" s="419">
        <f>CONVERT(0.116,"kg","lbm")</f>
        <v>0.25573622413445801</v>
      </c>
      <c r="Q149" s="551"/>
      <c r="R149" s="551">
        <v>3.1</v>
      </c>
      <c r="S149" s="552">
        <v>2.2999999999999998</v>
      </c>
      <c r="T149" s="419">
        <v>0.26</v>
      </c>
      <c r="U149" s="412">
        <v>9.1</v>
      </c>
      <c r="V149" s="412">
        <v>1.75</v>
      </c>
      <c r="W149" s="420">
        <v>1.4</v>
      </c>
      <c r="X149" s="529" t="s">
        <v>66</v>
      </c>
      <c r="Y149" s="473" t="s">
        <v>66</v>
      </c>
      <c r="Z149" s="473" t="s">
        <v>66</v>
      </c>
      <c r="AA149" s="474" t="s">
        <v>66</v>
      </c>
      <c r="AB149" s="419">
        <v>4.4000000000000004</v>
      </c>
      <c r="AC149" s="412">
        <v>9.75</v>
      </c>
      <c r="AD149" s="412">
        <v>5</v>
      </c>
      <c r="AE149" s="420">
        <v>10.25</v>
      </c>
      <c r="AF149" s="419">
        <f>AC149*AD149*AE149/(12^3)</f>
        <v>0.28917100694444442</v>
      </c>
      <c r="AG149" s="530" t="s">
        <v>531</v>
      </c>
      <c r="AH149" s="410" t="s">
        <v>532</v>
      </c>
      <c r="AI149" s="530" t="s">
        <v>530</v>
      </c>
      <c r="AJ149" s="421" t="s">
        <v>536</v>
      </c>
      <c r="AK149" s="530" t="s">
        <v>537</v>
      </c>
      <c r="AL149" s="530"/>
      <c r="AM149" s="530"/>
      <c r="AN149" s="530"/>
      <c r="AO149" s="530" t="s">
        <v>533</v>
      </c>
      <c r="AP149" s="410" t="s">
        <v>1839</v>
      </c>
      <c r="AQ149" s="410" t="s">
        <v>937</v>
      </c>
    </row>
    <row r="150" spans="1:43" s="20" customFormat="1" ht="15.6" x14ac:dyDescent="0.3">
      <c r="A150" s="523" t="s">
        <v>2271</v>
      </c>
      <c r="B150" s="532"/>
      <c r="C150" s="532"/>
      <c r="D150" s="4"/>
      <c r="E150" s="4"/>
      <c r="H150" s="5"/>
      <c r="K150" s="39"/>
      <c r="L150" s="38"/>
      <c r="M150" s="686"/>
      <c r="N150" s="37"/>
      <c r="O150" s="281"/>
      <c r="P150" s="46"/>
      <c r="Q150" s="35"/>
      <c r="R150" s="35"/>
      <c r="S150" s="72"/>
      <c r="T150" s="46"/>
      <c r="U150" s="35"/>
      <c r="V150" s="35"/>
      <c r="W150" s="72"/>
      <c r="X150" s="94"/>
      <c r="Y150" s="93"/>
      <c r="Z150" s="93"/>
      <c r="AA150" s="291"/>
      <c r="AB150" s="46"/>
      <c r="AC150" s="35"/>
      <c r="AD150" s="35"/>
      <c r="AE150" s="72"/>
      <c r="AF150" s="46"/>
      <c r="AG150" s="86"/>
      <c r="AH150" s="85"/>
      <c r="AI150" s="86"/>
      <c r="AJ150" s="39"/>
      <c r="AK150" s="86"/>
      <c r="AL150" s="86"/>
      <c r="AM150" s="86"/>
      <c r="AN150" s="86"/>
      <c r="AO150" s="86"/>
      <c r="AQ150" s="39"/>
    </row>
    <row r="151" spans="1:43" s="16" customFormat="1" x14ac:dyDescent="0.25">
      <c r="A151" s="20" t="s">
        <v>865</v>
      </c>
      <c r="B151" s="20"/>
      <c r="C151" s="42" t="s">
        <v>1003</v>
      </c>
      <c r="D151" s="4" t="s">
        <v>649</v>
      </c>
      <c r="E151" s="558" t="s">
        <v>2364</v>
      </c>
      <c r="F151" s="20" t="s">
        <v>54</v>
      </c>
      <c r="G151" s="20" t="s">
        <v>1488</v>
      </c>
      <c r="H151" s="559" t="s">
        <v>1006</v>
      </c>
      <c r="I151" s="20"/>
      <c r="J151" s="290"/>
      <c r="K151" s="39" t="s">
        <v>2365</v>
      </c>
      <c r="L151" s="38" t="s">
        <v>327</v>
      </c>
      <c r="M151" s="687">
        <v>149.99</v>
      </c>
      <c r="N151" s="37">
        <v>1</v>
      </c>
      <c r="O151" s="281">
        <v>3</v>
      </c>
      <c r="P151" s="46">
        <f>CONVERT(0.1746,"kg","lbm")</f>
        <v>0.38492710977479627</v>
      </c>
      <c r="Q151" s="549">
        <f>CONVERT(345,"mm","in")</f>
        <v>13.582677165354331</v>
      </c>
      <c r="R151" s="549">
        <f>CONVERT(220,"mm","in")</f>
        <v>8.6614173228346463</v>
      </c>
      <c r="S151" s="550">
        <v>2.5</v>
      </c>
      <c r="T151" s="46">
        <v>0.38492710977479622</v>
      </c>
      <c r="U151" s="135"/>
      <c r="V151" s="135"/>
      <c r="W151" s="136"/>
      <c r="X151" s="94" t="s">
        <v>66</v>
      </c>
      <c r="Y151" s="93" t="s">
        <v>66</v>
      </c>
      <c r="Z151" s="93" t="s">
        <v>66</v>
      </c>
      <c r="AA151" s="291" t="s">
        <v>66</v>
      </c>
      <c r="AB151" s="262"/>
      <c r="AC151" s="263"/>
      <c r="AD151" s="263"/>
      <c r="AE151" s="264"/>
      <c r="AF151" s="44"/>
      <c r="AG151" s="577" t="s">
        <v>2609</v>
      </c>
      <c r="AH151" s="577" t="s">
        <v>2562</v>
      </c>
      <c r="AI151" s="577" t="s">
        <v>2563</v>
      </c>
      <c r="AJ151" s="577" t="s">
        <v>2564</v>
      </c>
      <c r="AK151" s="86" t="s">
        <v>2565</v>
      </c>
      <c r="AL151" s="86" t="s">
        <v>2566</v>
      </c>
      <c r="AM151" s="86"/>
      <c r="AN151" s="86"/>
      <c r="AO151" s="581" t="s">
        <v>2561</v>
      </c>
      <c r="AP151" s="20" t="s">
        <v>1839</v>
      </c>
      <c r="AQ151" s="16" t="s">
        <v>937</v>
      </c>
    </row>
    <row r="152" spans="1:43" s="16" customFormat="1" x14ac:dyDescent="0.25">
      <c r="A152" s="20" t="s">
        <v>865</v>
      </c>
      <c r="B152" s="20"/>
      <c r="C152" s="42" t="s">
        <v>1011</v>
      </c>
      <c r="D152" s="4" t="s">
        <v>649</v>
      </c>
      <c r="E152" s="558" t="s">
        <v>2364</v>
      </c>
      <c r="F152" s="20" t="s">
        <v>111</v>
      </c>
      <c r="G152" s="20" t="s">
        <v>1488</v>
      </c>
      <c r="H152" s="559" t="s">
        <v>1015</v>
      </c>
      <c r="I152" s="20"/>
      <c r="J152" s="290"/>
      <c r="K152" s="39" t="s">
        <v>2365</v>
      </c>
      <c r="L152" s="38" t="s">
        <v>327</v>
      </c>
      <c r="M152" s="687">
        <v>149.99</v>
      </c>
      <c r="N152" s="37">
        <v>1</v>
      </c>
      <c r="O152" s="281">
        <v>3</v>
      </c>
      <c r="P152" s="46">
        <f>CONVERT(0.1746,"kg","lbm")</f>
        <v>0.38492710977479627</v>
      </c>
      <c r="Q152" s="549">
        <f>CONVERT(345,"mm","in")</f>
        <v>13.582677165354331</v>
      </c>
      <c r="R152" s="549">
        <f>CONVERT(220,"mm","in")</f>
        <v>8.6614173228346463</v>
      </c>
      <c r="S152" s="550">
        <v>2.5</v>
      </c>
      <c r="T152" s="46">
        <v>0.38492710977479622</v>
      </c>
      <c r="U152" s="135"/>
      <c r="V152" s="135"/>
      <c r="W152" s="136"/>
      <c r="X152" s="94" t="s">
        <v>66</v>
      </c>
      <c r="Y152" s="93" t="s">
        <v>66</v>
      </c>
      <c r="Z152" s="93" t="s">
        <v>66</v>
      </c>
      <c r="AA152" s="291" t="s">
        <v>66</v>
      </c>
      <c r="AB152" s="262"/>
      <c r="AC152" s="263"/>
      <c r="AD152" s="263"/>
      <c r="AE152" s="264"/>
      <c r="AF152" s="44"/>
      <c r="AG152" s="577" t="s">
        <v>2609</v>
      </c>
      <c r="AH152" s="577" t="s">
        <v>2562</v>
      </c>
      <c r="AI152" s="577" t="s">
        <v>2563</v>
      </c>
      <c r="AJ152" s="577" t="s">
        <v>2564</v>
      </c>
      <c r="AK152" s="86" t="s">
        <v>2567</v>
      </c>
      <c r="AL152" s="86" t="s">
        <v>2566</v>
      </c>
      <c r="AM152" s="86"/>
      <c r="AN152" s="86"/>
      <c r="AO152" s="581" t="s">
        <v>2561</v>
      </c>
      <c r="AP152" s="20" t="s">
        <v>1839</v>
      </c>
      <c r="AQ152" s="16" t="s">
        <v>937</v>
      </c>
    </row>
    <row r="153" spans="1:43" s="16" customFormat="1" x14ac:dyDescent="0.25">
      <c r="A153" s="20" t="s">
        <v>865</v>
      </c>
      <c r="B153" s="20"/>
      <c r="C153" s="42" t="s">
        <v>1010</v>
      </c>
      <c r="D153" s="4" t="s">
        <v>649</v>
      </c>
      <c r="E153" s="558" t="s">
        <v>2366</v>
      </c>
      <c r="F153" s="20" t="s">
        <v>54</v>
      </c>
      <c r="G153" s="20" t="s">
        <v>1488</v>
      </c>
      <c r="H153" s="559" t="s">
        <v>1014</v>
      </c>
      <c r="I153" s="20"/>
      <c r="J153" s="290"/>
      <c r="K153" s="39" t="s">
        <v>2365</v>
      </c>
      <c r="L153" s="38" t="s">
        <v>327</v>
      </c>
      <c r="M153" s="687">
        <v>119.99000000000001</v>
      </c>
      <c r="N153" s="37">
        <v>1</v>
      </c>
      <c r="O153" s="281">
        <v>3</v>
      </c>
      <c r="P153" s="46">
        <f>CONVERT(0.0942,"kg","lbm")</f>
        <v>0.20767545097815468</v>
      </c>
      <c r="Q153" s="549">
        <f>CONVERT(233,"mm","in")</f>
        <v>9.1732283464566944</v>
      </c>
      <c r="R153" s="549">
        <f>CONVERT(128,"mm","in")</f>
        <v>5.0393700787401574</v>
      </c>
      <c r="S153" s="550">
        <v>2</v>
      </c>
      <c r="T153" s="46">
        <v>0.20767545097815468</v>
      </c>
      <c r="U153" s="135"/>
      <c r="V153" s="135"/>
      <c r="W153" s="136"/>
      <c r="X153" s="94" t="s">
        <v>66</v>
      </c>
      <c r="Y153" s="93" t="s">
        <v>66</v>
      </c>
      <c r="Z153" s="93" t="s">
        <v>66</v>
      </c>
      <c r="AA153" s="291" t="s">
        <v>66</v>
      </c>
      <c r="AB153" s="262"/>
      <c r="AC153" s="263"/>
      <c r="AD153" s="263"/>
      <c r="AE153" s="264"/>
      <c r="AF153" s="44"/>
      <c r="AG153" s="577" t="s">
        <v>2610</v>
      </c>
      <c r="AH153" s="577" t="s">
        <v>2571</v>
      </c>
      <c r="AI153" s="577" t="s">
        <v>2572</v>
      </c>
      <c r="AJ153" s="577" t="s">
        <v>2565</v>
      </c>
      <c r="AK153" s="86" t="s">
        <v>2573</v>
      </c>
      <c r="AL153" s="86"/>
      <c r="AM153" s="86"/>
      <c r="AN153" s="86"/>
      <c r="AO153" s="581" t="s">
        <v>2583</v>
      </c>
      <c r="AP153" s="20" t="s">
        <v>1839</v>
      </c>
      <c r="AQ153" s="16" t="s">
        <v>937</v>
      </c>
    </row>
    <row r="154" spans="1:43" s="16" customFormat="1" x14ac:dyDescent="0.25">
      <c r="A154" s="20" t="s">
        <v>865</v>
      </c>
      <c r="B154" s="20"/>
      <c r="C154" s="42" t="s">
        <v>1019</v>
      </c>
      <c r="D154" s="4" t="s">
        <v>649</v>
      </c>
      <c r="E154" s="558" t="s">
        <v>2366</v>
      </c>
      <c r="F154" s="20" t="s">
        <v>111</v>
      </c>
      <c r="G154" s="20" t="s">
        <v>1488</v>
      </c>
      <c r="H154" s="559" t="s">
        <v>1022</v>
      </c>
      <c r="I154" s="20"/>
      <c r="J154" s="290"/>
      <c r="K154" s="39" t="s">
        <v>2365</v>
      </c>
      <c r="L154" s="38" t="s">
        <v>327</v>
      </c>
      <c r="M154" s="687">
        <v>119.99000000000001</v>
      </c>
      <c r="N154" s="37">
        <v>1</v>
      </c>
      <c r="O154" s="281">
        <v>3</v>
      </c>
      <c r="P154" s="46">
        <f>CONVERT(0.0942,"kg","lbm")</f>
        <v>0.20767545097815468</v>
      </c>
      <c r="Q154" s="549">
        <f>CONVERT(233,"mm","in")</f>
        <v>9.1732283464566944</v>
      </c>
      <c r="R154" s="549">
        <f>CONVERT(128,"mm","in")</f>
        <v>5.0393700787401574</v>
      </c>
      <c r="S154" s="550">
        <v>2</v>
      </c>
      <c r="T154" s="46">
        <v>0.20767545097815468</v>
      </c>
      <c r="U154" s="135"/>
      <c r="V154" s="135"/>
      <c r="W154" s="136"/>
      <c r="X154" s="94" t="s">
        <v>66</v>
      </c>
      <c r="Y154" s="93" t="s">
        <v>66</v>
      </c>
      <c r="Z154" s="93" t="s">
        <v>66</v>
      </c>
      <c r="AA154" s="291" t="s">
        <v>66</v>
      </c>
      <c r="AB154" s="262"/>
      <c r="AC154" s="263"/>
      <c r="AD154" s="263"/>
      <c r="AE154" s="264"/>
      <c r="AF154" s="44"/>
      <c r="AG154" s="577" t="s">
        <v>2610</v>
      </c>
      <c r="AH154" s="577" t="s">
        <v>2571</v>
      </c>
      <c r="AI154" s="577" t="s">
        <v>2572</v>
      </c>
      <c r="AJ154" s="577" t="s">
        <v>2567</v>
      </c>
      <c r="AK154" s="86" t="s">
        <v>2573</v>
      </c>
      <c r="AL154" s="86"/>
      <c r="AM154" s="86"/>
      <c r="AN154" s="86"/>
      <c r="AO154" s="581" t="s">
        <v>2583</v>
      </c>
      <c r="AP154" s="20" t="s">
        <v>1839</v>
      </c>
      <c r="AQ154" s="16" t="s">
        <v>937</v>
      </c>
    </row>
    <row r="155" spans="1:43" s="16" customFormat="1" x14ac:dyDescent="0.25">
      <c r="A155" s="20" t="s">
        <v>865</v>
      </c>
      <c r="B155" s="20"/>
      <c r="C155" s="42" t="s">
        <v>1004</v>
      </c>
      <c r="D155" s="4" t="s">
        <v>649</v>
      </c>
      <c r="E155" s="558" t="s">
        <v>2367</v>
      </c>
      <c r="F155" s="20" t="s">
        <v>54</v>
      </c>
      <c r="G155" s="20" t="s">
        <v>1488</v>
      </c>
      <c r="H155" s="559" t="s">
        <v>1007</v>
      </c>
      <c r="I155" s="20"/>
      <c r="J155" s="290"/>
      <c r="K155" s="39" t="s">
        <v>2365</v>
      </c>
      <c r="L155" s="38" t="s">
        <v>327</v>
      </c>
      <c r="M155" s="687">
        <v>139.99</v>
      </c>
      <c r="N155" s="37">
        <v>1</v>
      </c>
      <c r="O155" s="281">
        <v>3</v>
      </c>
      <c r="P155" s="46">
        <f>CONVERT(0.1566,"kg","lbm")</f>
        <v>0.34524390258151827</v>
      </c>
      <c r="Q155" s="549">
        <f>CONVERT(371,"mm","in")</f>
        <v>14.606299212598426</v>
      </c>
      <c r="R155" s="549">
        <f>CONVERT(246,"mm","in")</f>
        <v>9.6850393700787407</v>
      </c>
      <c r="S155" s="550">
        <v>2.5</v>
      </c>
      <c r="T155" s="46">
        <v>0.34524390258151827</v>
      </c>
      <c r="U155" s="135"/>
      <c r="V155" s="135"/>
      <c r="W155" s="136"/>
      <c r="X155" s="94" t="s">
        <v>66</v>
      </c>
      <c r="Y155" s="93" t="s">
        <v>66</v>
      </c>
      <c r="Z155" s="93" t="s">
        <v>66</v>
      </c>
      <c r="AA155" s="291" t="s">
        <v>66</v>
      </c>
      <c r="AB155" s="262"/>
      <c r="AC155" s="263"/>
      <c r="AD155" s="263"/>
      <c r="AE155" s="264"/>
      <c r="AF155" s="44"/>
      <c r="AG155" s="577" t="s">
        <v>2608</v>
      </c>
      <c r="AH155" s="577" t="s">
        <v>2568</v>
      </c>
      <c r="AI155" s="577" t="s">
        <v>2569</v>
      </c>
      <c r="AJ155" s="577" t="s">
        <v>2565</v>
      </c>
      <c r="AK155" s="86" t="s">
        <v>2570</v>
      </c>
      <c r="AL155" s="86"/>
      <c r="AM155" s="86"/>
      <c r="AN155" s="86"/>
      <c r="AO155" s="581" t="s">
        <v>2584</v>
      </c>
      <c r="AP155" s="20" t="s">
        <v>1839</v>
      </c>
      <c r="AQ155" s="16" t="s">
        <v>937</v>
      </c>
    </row>
    <row r="156" spans="1:43" s="16" customFormat="1" x14ac:dyDescent="0.25">
      <c r="A156" s="20" t="s">
        <v>865</v>
      </c>
      <c r="B156" s="20"/>
      <c r="C156" s="42" t="s">
        <v>1012</v>
      </c>
      <c r="D156" s="4" t="s">
        <v>649</v>
      </c>
      <c r="E156" s="558" t="s">
        <v>2367</v>
      </c>
      <c r="F156" s="20" t="s">
        <v>111</v>
      </c>
      <c r="G156" s="20" t="s">
        <v>1488</v>
      </c>
      <c r="H156" s="559" t="s">
        <v>1016</v>
      </c>
      <c r="I156" s="20"/>
      <c r="J156" s="290"/>
      <c r="K156" s="39" t="s">
        <v>2365</v>
      </c>
      <c r="L156" s="38" t="s">
        <v>327</v>
      </c>
      <c r="M156" s="687">
        <v>139.99</v>
      </c>
      <c r="N156" s="37">
        <v>1</v>
      </c>
      <c r="O156" s="281">
        <v>3</v>
      </c>
      <c r="P156" s="46">
        <f>CONVERT(0.1566,"kg","lbm")</f>
        <v>0.34524390258151827</v>
      </c>
      <c r="Q156" s="549">
        <f>CONVERT(371,"mm","in")</f>
        <v>14.606299212598426</v>
      </c>
      <c r="R156" s="549">
        <f>CONVERT(246,"mm","in")</f>
        <v>9.6850393700787407</v>
      </c>
      <c r="S156" s="550">
        <v>2.5</v>
      </c>
      <c r="T156" s="46">
        <v>0.34524390258151827</v>
      </c>
      <c r="U156" s="135"/>
      <c r="V156" s="135"/>
      <c r="W156" s="136"/>
      <c r="X156" s="94" t="s">
        <v>66</v>
      </c>
      <c r="Y156" s="93" t="s">
        <v>66</v>
      </c>
      <c r="Z156" s="93" t="s">
        <v>66</v>
      </c>
      <c r="AA156" s="291" t="s">
        <v>66</v>
      </c>
      <c r="AB156" s="262"/>
      <c r="AC156" s="263"/>
      <c r="AD156" s="263"/>
      <c r="AE156" s="264"/>
      <c r="AF156" s="44"/>
      <c r="AG156" s="577" t="s">
        <v>2608</v>
      </c>
      <c r="AH156" s="577" t="s">
        <v>2568</v>
      </c>
      <c r="AI156" s="577" t="s">
        <v>2569</v>
      </c>
      <c r="AJ156" s="577" t="s">
        <v>2567</v>
      </c>
      <c r="AK156" s="86" t="s">
        <v>2570</v>
      </c>
      <c r="AL156" s="86"/>
      <c r="AM156" s="86"/>
      <c r="AN156" s="86"/>
      <c r="AO156" s="581" t="s">
        <v>2584</v>
      </c>
      <c r="AP156" s="20" t="s">
        <v>1839</v>
      </c>
      <c r="AQ156" s="16" t="s">
        <v>937</v>
      </c>
    </row>
    <row r="157" spans="1:43" s="16" customFormat="1" x14ac:dyDescent="0.25">
      <c r="A157" s="20" t="s">
        <v>865</v>
      </c>
      <c r="B157" s="20"/>
      <c r="C157" s="42" t="s">
        <v>1005</v>
      </c>
      <c r="D157" s="4" t="s">
        <v>649</v>
      </c>
      <c r="E157" s="558" t="s">
        <v>2368</v>
      </c>
      <c r="F157" s="20" t="s">
        <v>54</v>
      </c>
      <c r="G157" s="20" t="s">
        <v>1488</v>
      </c>
      <c r="H157" s="559" t="s">
        <v>1008</v>
      </c>
      <c r="I157" s="20"/>
      <c r="J157" s="290"/>
      <c r="K157" s="39" t="s">
        <v>2365</v>
      </c>
      <c r="L157" s="38" t="s">
        <v>327</v>
      </c>
      <c r="M157" s="687">
        <v>139.99</v>
      </c>
      <c r="N157" s="37">
        <v>1</v>
      </c>
      <c r="O157" s="281">
        <v>3</v>
      </c>
      <c r="P157" s="46">
        <f>CONVERT(0.1155,"kg","lbm")</f>
        <v>0.25463391282353359</v>
      </c>
      <c r="Q157" s="549">
        <f>CONVERT(313,"mm","in")</f>
        <v>12.322834645669291</v>
      </c>
      <c r="R157" s="549">
        <f>CONVERT(188,"mm","in")</f>
        <v>7.4015748031496065</v>
      </c>
      <c r="S157" s="550">
        <v>2.5</v>
      </c>
      <c r="T157" s="46">
        <v>0.25463391282353359</v>
      </c>
      <c r="U157" s="135"/>
      <c r="V157" s="135"/>
      <c r="W157" s="136"/>
      <c r="X157" s="94" t="s">
        <v>66</v>
      </c>
      <c r="Y157" s="93" t="s">
        <v>66</v>
      </c>
      <c r="Z157" s="93" t="s">
        <v>66</v>
      </c>
      <c r="AA157" s="291" t="s">
        <v>66</v>
      </c>
      <c r="AB157" s="262"/>
      <c r="AC157" s="263"/>
      <c r="AD157" s="263"/>
      <c r="AE157" s="264"/>
      <c r="AF157" s="44"/>
      <c r="AG157" s="577" t="s">
        <v>2609</v>
      </c>
      <c r="AH157" s="577" t="s">
        <v>2574</v>
      </c>
      <c r="AI157" s="577" t="s">
        <v>2575</v>
      </c>
      <c r="AJ157" s="577" t="s">
        <v>2565</v>
      </c>
      <c r="AK157" s="86" t="s">
        <v>2576</v>
      </c>
      <c r="AL157" s="86"/>
      <c r="AM157" s="86"/>
      <c r="AN157" s="86"/>
      <c r="AO157" s="581" t="s">
        <v>2585</v>
      </c>
      <c r="AP157" s="20" t="s">
        <v>1839</v>
      </c>
      <c r="AQ157" s="16" t="s">
        <v>937</v>
      </c>
    </row>
    <row r="158" spans="1:43" s="16" customFormat="1" x14ac:dyDescent="0.25">
      <c r="A158" s="20" t="s">
        <v>865</v>
      </c>
      <c r="B158" s="20"/>
      <c r="C158" s="42" t="s">
        <v>1017</v>
      </c>
      <c r="D158" s="4" t="s">
        <v>649</v>
      </c>
      <c r="E158" s="558" t="s">
        <v>2368</v>
      </c>
      <c r="F158" s="20" t="s">
        <v>111</v>
      </c>
      <c r="G158" s="20" t="s">
        <v>1488</v>
      </c>
      <c r="H158" s="559" t="s">
        <v>1020</v>
      </c>
      <c r="I158" s="20"/>
      <c r="J158" s="290"/>
      <c r="K158" s="39" t="s">
        <v>2365</v>
      </c>
      <c r="L158" s="38" t="s">
        <v>327</v>
      </c>
      <c r="M158" s="687">
        <v>139.99</v>
      </c>
      <c r="N158" s="37">
        <v>1</v>
      </c>
      <c r="O158" s="281">
        <v>3</v>
      </c>
      <c r="P158" s="46">
        <f>CONVERT(0.1155,"kg","lbm")</f>
        <v>0.25463391282353359</v>
      </c>
      <c r="Q158" s="549">
        <f>CONVERT(313,"mm","in")</f>
        <v>12.322834645669291</v>
      </c>
      <c r="R158" s="549">
        <f>CONVERT(188,"mm","in")</f>
        <v>7.4015748031496065</v>
      </c>
      <c r="S158" s="550">
        <v>2.5</v>
      </c>
      <c r="T158" s="46">
        <v>0.25463391282353359</v>
      </c>
      <c r="U158" s="135"/>
      <c r="V158" s="135"/>
      <c r="W158" s="136"/>
      <c r="X158" s="94" t="s">
        <v>66</v>
      </c>
      <c r="Y158" s="93" t="s">
        <v>66</v>
      </c>
      <c r="Z158" s="93" t="s">
        <v>66</v>
      </c>
      <c r="AA158" s="291" t="s">
        <v>66</v>
      </c>
      <c r="AB158" s="262"/>
      <c r="AC158" s="263"/>
      <c r="AD158" s="263"/>
      <c r="AE158" s="264"/>
      <c r="AF158" s="44"/>
      <c r="AG158" s="577" t="s">
        <v>2609</v>
      </c>
      <c r="AH158" s="577" t="s">
        <v>2574</v>
      </c>
      <c r="AI158" s="577" t="s">
        <v>2575</v>
      </c>
      <c r="AJ158" s="577" t="s">
        <v>2567</v>
      </c>
      <c r="AK158" s="86" t="s">
        <v>2576</v>
      </c>
      <c r="AL158" s="86"/>
      <c r="AM158" s="86"/>
      <c r="AN158" s="86"/>
      <c r="AO158" s="581" t="s">
        <v>2585</v>
      </c>
      <c r="AP158" s="20" t="s">
        <v>1839</v>
      </c>
      <c r="AQ158" s="16" t="s">
        <v>937</v>
      </c>
    </row>
    <row r="159" spans="1:43" s="16" customFormat="1" x14ac:dyDescent="0.25">
      <c r="A159" s="20" t="s">
        <v>865</v>
      </c>
      <c r="B159" s="20"/>
      <c r="C159" s="42" t="s">
        <v>1009</v>
      </c>
      <c r="D159" s="4" t="s">
        <v>649</v>
      </c>
      <c r="E159" s="558" t="s">
        <v>2369</v>
      </c>
      <c r="F159" s="20" t="s">
        <v>54</v>
      </c>
      <c r="G159" s="20" t="s">
        <v>1488</v>
      </c>
      <c r="H159" s="559" t="s">
        <v>1013</v>
      </c>
      <c r="I159" s="20"/>
      <c r="J159" s="290"/>
      <c r="K159" s="39" t="s">
        <v>2365</v>
      </c>
      <c r="L159" s="38" t="s">
        <v>327</v>
      </c>
      <c r="M159" s="687">
        <v>59.99</v>
      </c>
      <c r="N159" s="37">
        <v>1</v>
      </c>
      <c r="O159" s="281">
        <v>3</v>
      </c>
      <c r="P159" s="46">
        <f>CONVERT(0.0784,"kg","lbm")</f>
        <v>0.17284241355294402</v>
      </c>
      <c r="Q159" s="549">
        <f>CONVERT(190,"mm","in")</f>
        <v>7.4803149606299213</v>
      </c>
      <c r="R159" s="549">
        <f>CONVERT(85,"mm","in")</f>
        <v>3.3464566929133857</v>
      </c>
      <c r="S159" s="550">
        <v>2.2000000000000002</v>
      </c>
      <c r="T159" s="46">
        <v>0.17284241355294402</v>
      </c>
      <c r="U159" s="135"/>
      <c r="V159" s="135"/>
      <c r="W159" s="136"/>
      <c r="X159" s="94" t="s">
        <v>66</v>
      </c>
      <c r="Y159" s="93" t="s">
        <v>66</v>
      </c>
      <c r="Z159" s="93" t="s">
        <v>66</v>
      </c>
      <c r="AA159" s="291" t="s">
        <v>66</v>
      </c>
      <c r="AB159" s="262"/>
      <c r="AC159" s="263"/>
      <c r="AD159" s="263"/>
      <c r="AE159" s="264"/>
      <c r="AF159" s="44"/>
      <c r="AG159" s="577" t="s">
        <v>2611</v>
      </c>
      <c r="AH159" s="577" t="s">
        <v>2577</v>
      </c>
      <c r="AI159" s="577" t="s">
        <v>2565</v>
      </c>
      <c r="AJ159" s="86" t="s">
        <v>2578</v>
      </c>
      <c r="AK159" s="86"/>
      <c r="AL159" s="86"/>
      <c r="AM159" s="86"/>
      <c r="AN159" s="86"/>
      <c r="AO159" s="581" t="s">
        <v>2586</v>
      </c>
      <c r="AP159" s="20" t="s">
        <v>1839</v>
      </c>
      <c r="AQ159" s="16" t="s">
        <v>937</v>
      </c>
    </row>
    <row r="160" spans="1:43" s="16" customFormat="1" x14ac:dyDescent="0.25">
      <c r="A160" s="20" t="s">
        <v>865</v>
      </c>
      <c r="B160" s="20"/>
      <c r="C160" s="42" t="s">
        <v>1018</v>
      </c>
      <c r="D160" s="4" t="s">
        <v>649</v>
      </c>
      <c r="E160" s="558" t="s">
        <v>2369</v>
      </c>
      <c r="F160" s="20" t="s">
        <v>111</v>
      </c>
      <c r="G160" s="20" t="s">
        <v>1488</v>
      </c>
      <c r="H160" s="559" t="s">
        <v>1021</v>
      </c>
      <c r="I160" s="20"/>
      <c r="J160" s="290"/>
      <c r="K160" s="39" t="s">
        <v>2365</v>
      </c>
      <c r="L160" s="38" t="s">
        <v>327</v>
      </c>
      <c r="M160" s="687">
        <v>59.99</v>
      </c>
      <c r="N160" s="37">
        <v>1</v>
      </c>
      <c r="O160" s="281">
        <v>3</v>
      </c>
      <c r="P160" s="46">
        <f>CONVERT(0.0784,"kg","lbm")</f>
        <v>0.17284241355294402</v>
      </c>
      <c r="Q160" s="549">
        <f>CONVERT(190,"mm","in")</f>
        <v>7.4803149606299213</v>
      </c>
      <c r="R160" s="549">
        <f>CONVERT(85,"mm","in")</f>
        <v>3.3464566929133857</v>
      </c>
      <c r="S160" s="550">
        <v>2.2000000000000002</v>
      </c>
      <c r="T160" s="46">
        <v>0.17284241355294402</v>
      </c>
      <c r="U160" s="135"/>
      <c r="V160" s="135"/>
      <c r="W160" s="136"/>
      <c r="X160" s="94" t="s">
        <v>66</v>
      </c>
      <c r="Y160" s="93" t="s">
        <v>66</v>
      </c>
      <c r="Z160" s="93" t="s">
        <v>66</v>
      </c>
      <c r="AA160" s="291" t="s">
        <v>66</v>
      </c>
      <c r="AB160" s="262"/>
      <c r="AC160" s="263"/>
      <c r="AD160" s="263"/>
      <c r="AE160" s="264"/>
      <c r="AF160" s="44"/>
      <c r="AG160" s="577" t="s">
        <v>2611</v>
      </c>
      <c r="AH160" s="577" t="s">
        <v>2577</v>
      </c>
      <c r="AI160" s="577" t="s">
        <v>2567</v>
      </c>
      <c r="AJ160" s="86" t="s">
        <v>2578</v>
      </c>
      <c r="AK160" s="86"/>
      <c r="AL160" s="86"/>
      <c r="AM160" s="86"/>
      <c r="AN160" s="86"/>
      <c r="AO160" s="581" t="s">
        <v>2586</v>
      </c>
      <c r="AP160" s="20" t="s">
        <v>1839</v>
      </c>
      <c r="AQ160" s="16" t="s">
        <v>937</v>
      </c>
    </row>
    <row r="161" spans="1:43" s="16" customFormat="1" x14ac:dyDescent="0.25">
      <c r="A161" s="20" t="s">
        <v>865</v>
      </c>
      <c r="B161" s="20"/>
      <c r="C161" s="42" t="s">
        <v>1023</v>
      </c>
      <c r="D161" s="4" t="s">
        <v>649</v>
      </c>
      <c r="E161" s="42" t="s">
        <v>2370</v>
      </c>
      <c r="F161" s="20" t="s">
        <v>54</v>
      </c>
      <c r="G161" s="20" t="s">
        <v>1488</v>
      </c>
      <c r="H161" s="57" t="s">
        <v>1025</v>
      </c>
      <c r="I161" s="20"/>
      <c r="J161" s="290"/>
      <c r="K161" s="39" t="s">
        <v>2365</v>
      </c>
      <c r="L161" s="38" t="s">
        <v>327</v>
      </c>
      <c r="M161" s="687">
        <v>299.99</v>
      </c>
      <c r="N161" s="37">
        <v>1</v>
      </c>
      <c r="O161" s="281">
        <v>9</v>
      </c>
      <c r="P161" s="46" t="s">
        <v>66</v>
      </c>
      <c r="Q161" s="35" t="s">
        <v>66</v>
      </c>
      <c r="R161" s="35" t="s">
        <v>66</v>
      </c>
      <c r="S161" s="72" t="s">
        <v>66</v>
      </c>
      <c r="T161" s="46">
        <v>0.90301342590925859</v>
      </c>
      <c r="U161" s="135"/>
      <c r="V161" s="135"/>
      <c r="W161" s="136"/>
      <c r="X161" s="94" t="s">
        <v>66</v>
      </c>
      <c r="Y161" s="93" t="s">
        <v>66</v>
      </c>
      <c r="Z161" s="93" t="s">
        <v>66</v>
      </c>
      <c r="AA161" s="291" t="s">
        <v>66</v>
      </c>
      <c r="AB161" s="262"/>
      <c r="AC161" s="263"/>
      <c r="AD161" s="263"/>
      <c r="AE161" s="264"/>
      <c r="AF161" s="44"/>
      <c r="AG161" s="577" t="s">
        <v>2579</v>
      </c>
      <c r="AH161" s="577" t="s">
        <v>2580</v>
      </c>
      <c r="AI161" s="577" t="s">
        <v>2565</v>
      </c>
      <c r="AJ161" s="582" t="s">
        <v>2581</v>
      </c>
      <c r="AK161" s="86"/>
      <c r="AL161" s="86"/>
      <c r="AM161" s="86"/>
      <c r="AN161" s="86"/>
      <c r="AO161" s="581" t="s">
        <v>2582</v>
      </c>
      <c r="AP161" s="20" t="s">
        <v>1839</v>
      </c>
      <c r="AQ161" s="16" t="s">
        <v>937</v>
      </c>
    </row>
    <row r="162" spans="1:43" s="16" customFormat="1" x14ac:dyDescent="0.25">
      <c r="A162" s="20" t="s">
        <v>865</v>
      </c>
      <c r="B162" s="20"/>
      <c r="C162" s="42" t="s">
        <v>1024</v>
      </c>
      <c r="D162" s="4" t="s">
        <v>649</v>
      </c>
      <c r="E162" s="42" t="s">
        <v>2370</v>
      </c>
      <c r="F162" s="20" t="s">
        <v>111</v>
      </c>
      <c r="G162" s="20" t="s">
        <v>1488</v>
      </c>
      <c r="H162" s="57" t="s">
        <v>1026</v>
      </c>
      <c r="I162" s="20"/>
      <c r="J162" s="290"/>
      <c r="K162" s="39" t="s">
        <v>2365</v>
      </c>
      <c r="L162" s="38" t="s">
        <v>327</v>
      </c>
      <c r="M162" s="687">
        <v>299.99</v>
      </c>
      <c r="N162" s="37">
        <v>1</v>
      </c>
      <c r="O162" s="281">
        <v>9</v>
      </c>
      <c r="P162" s="46" t="s">
        <v>66</v>
      </c>
      <c r="Q162" s="35" t="s">
        <v>66</v>
      </c>
      <c r="R162" s="35" t="s">
        <v>66</v>
      </c>
      <c r="S162" s="72" t="s">
        <v>66</v>
      </c>
      <c r="T162" s="46">
        <v>0.90301342590925859</v>
      </c>
      <c r="U162" s="135"/>
      <c r="V162" s="135"/>
      <c r="W162" s="136"/>
      <c r="X162" s="94" t="s">
        <v>66</v>
      </c>
      <c r="Y162" s="93" t="s">
        <v>66</v>
      </c>
      <c r="Z162" s="93" t="s">
        <v>66</v>
      </c>
      <c r="AA162" s="291" t="s">
        <v>66</v>
      </c>
      <c r="AB162" s="262"/>
      <c r="AC162" s="263"/>
      <c r="AD162" s="263"/>
      <c r="AE162" s="264"/>
      <c r="AF162" s="44"/>
      <c r="AG162" s="577" t="s">
        <v>2579</v>
      </c>
      <c r="AH162" s="577" t="s">
        <v>2580</v>
      </c>
      <c r="AI162" s="577" t="s">
        <v>2567</v>
      </c>
      <c r="AJ162" s="582" t="s">
        <v>2581</v>
      </c>
      <c r="AK162" s="86"/>
      <c r="AL162" s="86"/>
      <c r="AM162" s="86"/>
      <c r="AN162" s="86"/>
      <c r="AO162" s="581" t="s">
        <v>2582</v>
      </c>
      <c r="AP162" s="20" t="s">
        <v>1839</v>
      </c>
      <c r="AQ162" s="16" t="s">
        <v>937</v>
      </c>
    </row>
    <row r="163" spans="1:43" s="16" customFormat="1" x14ac:dyDescent="0.25">
      <c r="A163" s="20" t="s">
        <v>865</v>
      </c>
      <c r="B163" s="20"/>
      <c r="C163" s="42" t="s">
        <v>705</v>
      </c>
      <c r="D163" s="4" t="s">
        <v>649</v>
      </c>
      <c r="E163" s="42" t="s">
        <v>2371</v>
      </c>
      <c r="F163" s="20" t="s">
        <v>2372</v>
      </c>
      <c r="G163" s="20" t="s">
        <v>1488</v>
      </c>
      <c r="H163" s="5" t="s">
        <v>863</v>
      </c>
      <c r="I163" s="20"/>
      <c r="J163" s="290"/>
      <c r="K163" s="39" t="s">
        <v>2328</v>
      </c>
      <c r="L163" s="38" t="s">
        <v>327</v>
      </c>
      <c r="M163" s="686">
        <v>249.99</v>
      </c>
      <c r="N163" s="37">
        <v>1</v>
      </c>
      <c r="O163" s="281">
        <v>1</v>
      </c>
      <c r="P163" s="46">
        <f>CONVERT(0.1,"kg","lbm")</f>
        <v>0.22046226218487758</v>
      </c>
      <c r="Q163" s="549">
        <f>CONVERT(225,"mm","in")</f>
        <v>8.8582677165354333</v>
      </c>
      <c r="R163" s="549">
        <f>CONVERT(122,"mm","in")</f>
        <v>4.8031496062992129</v>
      </c>
      <c r="S163" s="550">
        <v>2.5</v>
      </c>
      <c r="T163" s="46">
        <v>0.76059480453782757</v>
      </c>
      <c r="U163" s="35">
        <v>10</v>
      </c>
      <c r="V163" s="35">
        <v>5.5</v>
      </c>
      <c r="W163" s="72">
        <v>2.25</v>
      </c>
      <c r="X163" s="94" t="s">
        <v>66</v>
      </c>
      <c r="Y163" s="93" t="s">
        <v>66</v>
      </c>
      <c r="Z163" s="93" t="s">
        <v>66</v>
      </c>
      <c r="AA163" s="291" t="s">
        <v>66</v>
      </c>
      <c r="AB163" s="262"/>
      <c r="AC163" s="263" t="s">
        <v>279</v>
      </c>
      <c r="AD163" s="263" t="s">
        <v>279</v>
      </c>
      <c r="AE163" s="264" t="s">
        <v>279</v>
      </c>
      <c r="AF163" s="44"/>
      <c r="AG163" s="86" t="s">
        <v>2612</v>
      </c>
      <c r="AH163" s="85" t="s">
        <v>2587</v>
      </c>
      <c r="AI163" s="86" t="s">
        <v>2613</v>
      </c>
      <c r="AJ163" s="86" t="s">
        <v>2588</v>
      </c>
      <c r="AK163" s="86"/>
      <c r="AL163" s="86"/>
      <c r="AM163" s="86"/>
      <c r="AN163" s="86"/>
      <c r="AO163" s="581" t="s">
        <v>2589</v>
      </c>
      <c r="AP163" s="20" t="s">
        <v>1839</v>
      </c>
      <c r="AQ163" s="16" t="s">
        <v>937</v>
      </c>
    </row>
    <row r="164" spans="1:43" s="16" customFormat="1" x14ac:dyDescent="0.25">
      <c r="A164" s="20" t="s">
        <v>865</v>
      </c>
      <c r="B164" s="20"/>
      <c r="C164" s="42" t="s">
        <v>706</v>
      </c>
      <c r="D164" s="4" t="s">
        <v>649</v>
      </c>
      <c r="E164" s="42" t="s">
        <v>2373</v>
      </c>
      <c r="F164" s="20" t="s">
        <v>2324</v>
      </c>
      <c r="G164" s="20" t="s">
        <v>1488</v>
      </c>
      <c r="H164" s="5" t="s">
        <v>862</v>
      </c>
      <c r="I164" s="20"/>
      <c r="J164" s="290"/>
      <c r="K164" s="39" t="s">
        <v>2328</v>
      </c>
      <c r="L164" s="38" t="s">
        <v>327</v>
      </c>
      <c r="M164" s="686">
        <v>199.99</v>
      </c>
      <c r="N164" s="37">
        <v>1</v>
      </c>
      <c r="O164" s="281">
        <v>1</v>
      </c>
      <c r="P164" s="46">
        <f>CONVERT(0.104,"kg","lbm")</f>
        <v>0.22928075267227266</v>
      </c>
      <c r="Q164" s="549">
        <f>CONVERT(205,"mm","in")</f>
        <v>8.0708661417322833</v>
      </c>
      <c r="R164" s="549">
        <f>CONVERT(106,"mm","in")</f>
        <v>4.1732283464566926</v>
      </c>
      <c r="S164" s="550">
        <v>2</v>
      </c>
      <c r="T164" s="46">
        <v>0.22928075267227269</v>
      </c>
      <c r="U164" s="35">
        <v>12</v>
      </c>
      <c r="V164" s="35">
        <v>6</v>
      </c>
      <c r="W164" s="72">
        <v>1.5</v>
      </c>
      <c r="X164" s="94" t="s">
        <v>66</v>
      </c>
      <c r="Y164" s="93" t="s">
        <v>66</v>
      </c>
      <c r="Z164" s="93" t="s">
        <v>66</v>
      </c>
      <c r="AA164" s="291" t="s">
        <v>66</v>
      </c>
      <c r="AB164" s="262"/>
      <c r="AC164" s="263" t="s">
        <v>279</v>
      </c>
      <c r="AD164" s="263" t="s">
        <v>279</v>
      </c>
      <c r="AE164" s="264" t="s">
        <v>279</v>
      </c>
      <c r="AF164" s="44"/>
      <c r="AG164" s="86" t="s">
        <v>2615</v>
      </c>
      <c r="AH164" s="85" t="s">
        <v>2587</v>
      </c>
      <c r="AI164" s="86" t="s">
        <v>2614</v>
      </c>
      <c r="AJ164" s="86" t="s">
        <v>2590</v>
      </c>
      <c r="AK164" s="86"/>
      <c r="AL164" s="86"/>
      <c r="AM164" s="86"/>
      <c r="AN164" s="86"/>
      <c r="AO164" s="580"/>
      <c r="AP164" s="20" t="s">
        <v>1839</v>
      </c>
      <c r="AQ164" s="16" t="s">
        <v>937</v>
      </c>
    </row>
    <row r="165" spans="1:43" s="20" customFormat="1" ht="15.6" x14ac:dyDescent="0.3">
      <c r="A165" s="523" t="s">
        <v>717</v>
      </c>
      <c r="B165" s="532"/>
      <c r="C165" s="532"/>
      <c r="D165" s="4"/>
      <c r="E165" s="4"/>
      <c r="H165" s="5"/>
      <c r="K165" s="39"/>
      <c r="L165" s="38"/>
      <c r="M165" s="686"/>
      <c r="N165" s="37"/>
      <c r="O165" s="281"/>
      <c r="P165" s="46"/>
      <c r="Q165" s="35"/>
      <c r="R165" s="35"/>
      <c r="S165" s="72"/>
      <c r="T165" s="46"/>
      <c r="U165" s="35"/>
      <c r="V165" s="35"/>
      <c r="W165" s="72"/>
      <c r="X165" s="94"/>
      <c r="Y165" s="93"/>
      <c r="Z165" s="93"/>
      <c r="AA165" s="291"/>
      <c r="AB165" s="46"/>
      <c r="AC165" s="35"/>
      <c r="AD165" s="35"/>
      <c r="AE165" s="72"/>
      <c r="AF165" s="46"/>
      <c r="AG165" s="86"/>
      <c r="AH165" s="85"/>
      <c r="AI165" s="86"/>
      <c r="AJ165" s="39"/>
      <c r="AK165" s="86"/>
      <c r="AL165" s="86"/>
      <c r="AM165" s="86"/>
      <c r="AN165" s="86"/>
      <c r="AO165" s="86"/>
      <c r="AQ165" s="39"/>
    </row>
    <row r="166" spans="1:43" s="20" customFormat="1" ht="12.75" customHeight="1" x14ac:dyDescent="0.25">
      <c r="A166" s="20" t="s">
        <v>865</v>
      </c>
      <c r="C166" s="42" t="s">
        <v>718</v>
      </c>
      <c r="D166" s="4"/>
      <c r="E166" s="4" t="s">
        <v>2374</v>
      </c>
      <c r="G166" s="20" t="s">
        <v>1507</v>
      </c>
      <c r="H166" s="114">
        <v>7391846011552</v>
      </c>
      <c r="J166" s="290"/>
      <c r="K166" s="39" t="s">
        <v>2375</v>
      </c>
      <c r="L166" s="38" t="s">
        <v>327</v>
      </c>
      <c r="M166" s="686">
        <v>24.99</v>
      </c>
      <c r="N166" s="37">
        <v>1</v>
      </c>
      <c r="O166" s="281">
        <v>5</v>
      </c>
      <c r="P166" s="46">
        <f>CONVERT(0.011,"kg","lbm")</f>
        <v>2.4250848840336531E-2</v>
      </c>
      <c r="Q166" s="549">
        <f>CONVERT(140,"mm","in")</f>
        <v>5.5118110236220472</v>
      </c>
      <c r="R166" s="549">
        <f>CONVERT(54,"mm","in")</f>
        <v>2.1259842519685042</v>
      </c>
      <c r="S166" s="550">
        <v>4</v>
      </c>
      <c r="T166" s="46">
        <v>2.4250848840336531E-2</v>
      </c>
      <c r="U166" s="35">
        <v>7</v>
      </c>
      <c r="V166" s="35">
        <v>3</v>
      </c>
      <c r="W166" s="72">
        <v>1</v>
      </c>
      <c r="X166" s="94" t="s">
        <v>66</v>
      </c>
      <c r="Y166" s="93" t="s">
        <v>66</v>
      </c>
      <c r="Z166" s="93" t="s">
        <v>66</v>
      </c>
      <c r="AA166" s="291" t="s">
        <v>66</v>
      </c>
      <c r="AB166" s="46">
        <v>0.5</v>
      </c>
      <c r="AC166" s="35">
        <v>10.5</v>
      </c>
      <c r="AD166" s="35">
        <v>8.5</v>
      </c>
      <c r="AE166" s="72">
        <v>2</v>
      </c>
      <c r="AF166" s="46">
        <f>AC166*AD166*AE166/(12^3)</f>
        <v>0.1032986111111111</v>
      </c>
      <c r="AG166" s="776" t="s">
        <v>733</v>
      </c>
      <c r="AH166" s="85" t="s">
        <v>734</v>
      </c>
      <c r="AI166" s="86" t="s">
        <v>735</v>
      </c>
      <c r="AJ166" s="39"/>
      <c r="AK166" s="86"/>
      <c r="AL166" s="86"/>
      <c r="AM166" s="86"/>
      <c r="AN166" s="86"/>
      <c r="AO166" s="776" t="s">
        <v>733</v>
      </c>
      <c r="AP166" s="20" t="s">
        <v>1839</v>
      </c>
      <c r="AQ166" s="16" t="s">
        <v>937</v>
      </c>
    </row>
    <row r="167" spans="1:43" s="16" customFormat="1" x14ac:dyDescent="0.25">
      <c r="A167" s="20" t="s">
        <v>865</v>
      </c>
      <c r="B167" s="20"/>
      <c r="C167" s="4" t="s">
        <v>479</v>
      </c>
      <c r="D167" s="4"/>
      <c r="E167" s="4" t="s">
        <v>2376</v>
      </c>
      <c r="F167" s="20" t="s">
        <v>54</v>
      </c>
      <c r="G167" s="20" t="s">
        <v>1507</v>
      </c>
      <c r="H167" s="114">
        <v>7391846011514</v>
      </c>
      <c r="I167" s="20"/>
      <c r="J167" s="290"/>
      <c r="K167" s="39" t="s">
        <v>2375</v>
      </c>
      <c r="L167" s="38" t="s">
        <v>327</v>
      </c>
      <c r="M167" s="686">
        <v>24.99</v>
      </c>
      <c r="N167" s="37">
        <v>1</v>
      </c>
      <c r="O167" s="281">
        <v>5</v>
      </c>
      <c r="P167" s="46">
        <f>CONVERT(0.015,"kg","lbm")</f>
        <v>3.3069339327731637E-2</v>
      </c>
      <c r="Q167" s="549">
        <f>CONVERT(150,"mm","in")</f>
        <v>5.9055118110236222</v>
      </c>
      <c r="R167" s="549">
        <f>CONVERT(50,"mm","in")</f>
        <v>1.9685039370078741</v>
      </c>
      <c r="S167" s="550">
        <v>4.5</v>
      </c>
      <c r="T167" s="46">
        <f>1/16</f>
        <v>6.25E-2</v>
      </c>
      <c r="U167" s="35">
        <v>3</v>
      </c>
      <c r="V167" s="35">
        <v>0.5</v>
      </c>
      <c r="W167" s="72">
        <v>7.4375</v>
      </c>
      <c r="X167" s="94" t="s">
        <v>66</v>
      </c>
      <c r="Y167" s="93" t="s">
        <v>66</v>
      </c>
      <c r="Z167" s="93" t="s">
        <v>66</v>
      </c>
      <c r="AA167" s="291" t="s">
        <v>66</v>
      </c>
      <c r="AB167" s="46">
        <v>0.45</v>
      </c>
      <c r="AC167" s="35">
        <v>9.25</v>
      </c>
      <c r="AD167" s="35">
        <v>4</v>
      </c>
      <c r="AE167" s="72">
        <v>3</v>
      </c>
      <c r="AF167" s="44">
        <f>AC167*AD167*AE167/(12^3)</f>
        <v>6.4236111111111105E-2</v>
      </c>
      <c r="AG167" s="86" t="s">
        <v>585</v>
      </c>
      <c r="AH167" s="86" t="s">
        <v>586</v>
      </c>
      <c r="AI167" s="86" t="s">
        <v>584</v>
      </c>
      <c r="AJ167" s="39"/>
      <c r="AK167" s="20"/>
      <c r="AL167" s="20"/>
      <c r="AM167" s="20"/>
      <c r="AN167" s="20"/>
      <c r="AO167" s="86" t="s">
        <v>587</v>
      </c>
      <c r="AP167" s="20" t="s">
        <v>1839</v>
      </c>
      <c r="AQ167" s="16" t="s">
        <v>937</v>
      </c>
    </row>
    <row r="168" spans="1:43" s="16" customFormat="1" x14ac:dyDescent="0.25">
      <c r="A168" s="20" t="s">
        <v>865</v>
      </c>
      <c r="B168" s="20"/>
      <c r="C168" s="42" t="s">
        <v>719</v>
      </c>
      <c r="D168" s="4"/>
      <c r="E168" s="4" t="s">
        <v>732</v>
      </c>
      <c r="F168" s="20" t="s">
        <v>111</v>
      </c>
      <c r="G168" s="20" t="s">
        <v>1485</v>
      </c>
      <c r="H168" s="5" t="s">
        <v>2377</v>
      </c>
      <c r="I168" s="20"/>
      <c r="J168" s="290"/>
      <c r="K168" s="39" t="s">
        <v>2375</v>
      </c>
      <c r="L168" s="38" t="s">
        <v>327</v>
      </c>
      <c r="M168" s="686">
        <v>29.99</v>
      </c>
      <c r="N168" s="37">
        <v>1</v>
      </c>
      <c r="O168" s="281">
        <v>6</v>
      </c>
      <c r="P168" s="46">
        <f>CONVERT(0.175,"kg","lbm")</f>
        <v>0.38580895882353572</v>
      </c>
      <c r="Q168" s="555">
        <f>CONVERT(0,"mm","in")</f>
        <v>0</v>
      </c>
      <c r="R168" s="549">
        <f>CONVERT(175,"mm","in")</f>
        <v>6.8897637795275584</v>
      </c>
      <c r="S168" s="556"/>
      <c r="T168" s="46">
        <v>0.38580895882353577</v>
      </c>
      <c r="U168" s="35">
        <v>12</v>
      </c>
      <c r="V168" s="35">
        <v>1</v>
      </c>
      <c r="W168" s="72">
        <v>1</v>
      </c>
      <c r="X168" s="94" t="s">
        <v>66</v>
      </c>
      <c r="Y168" s="93" t="s">
        <v>66</v>
      </c>
      <c r="Z168" s="93" t="s">
        <v>66</v>
      </c>
      <c r="AA168" s="291" t="s">
        <v>66</v>
      </c>
      <c r="AB168" s="46">
        <v>2.6</v>
      </c>
      <c r="AC168" s="35">
        <v>13</v>
      </c>
      <c r="AD168" s="35">
        <v>5</v>
      </c>
      <c r="AE168" s="72">
        <v>2.5</v>
      </c>
      <c r="AF168" s="44">
        <f>AC168*AD168*AE168/(12^3)</f>
        <v>9.4039351851851846E-2</v>
      </c>
      <c r="AG168" s="86" t="s">
        <v>850</v>
      </c>
      <c r="AH168" s="85" t="s">
        <v>852</v>
      </c>
      <c r="AI168" s="86" t="s">
        <v>851</v>
      </c>
      <c r="AJ168" s="39" t="s">
        <v>739</v>
      </c>
      <c r="AK168" s="86"/>
      <c r="AL168" s="86"/>
      <c r="AM168" s="86"/>
      <c r="AN168" s="86"/>
      <c r="AO168" s="86"/>
      <c r="AP168" s="20" t="s">
        <v>1839</v>
      </c>
      <c r="AQ168" s="16" t="s">
        <v>937</v>
      </c>
    </row>
    <row r="169" spans="1:43" s="20" customFormat="1" ht="15.6" x14ac:dyDescent="0.3">
      <c r="A169" s="523" t="s">
        <v>750</v>
      </c>
      <c r="B169" s="532"/>
      <c r="C169" s="532"/>
      <c r="D169" s="35"/>
      <c r="E169" s="36"/>
      <c r="H169" s="265"/>
      <c r="K169" s="38"/>
      <c r="L169" s="38"/>
      <c r="M169" s="678"/>
      <c r="N169" s="37"/>
      <c r="O169" s="228"/>
      <c r="P169" s="46"/>
      <c r="Q169" s="35"/>
      <c r="R169" s="35"/>
      <c r="S169" s="72"/>
      <c r="T169" s="46"/>
      <c r="U169" s="35"/>
      <c r="V169" s="35"/>
      <c r="W169" s="72"/>
      <c r="X169" s="46"/>
      <c r="Y169" s="35" t="s">
        <v>648</v>
      </c>
      <c r="Z169" s="35"/>
      <c r="AA169" s="72"/>
      <c r="AB169" s="46"/>
      <c r="AC169" s="35"/>
      <c r="AD169" s="35"/>
      <c r="AE169" s="72"/>
      <c r="AF169" s="46"/>
    </row>
    <row r="170" spans="1:43" s="20" customFormat="1" x14ac:dyDescent="0.25">
      <c r="A170" s="20" t="s">
        <v>865</v>
      </c>
      <c r="C170" s="85" t="s">
        <v>754</v>
      </c>
      <c r="D170" s="4" t="s">
        <v>621</v>
      </c>
      <c r="E170" s="85" t="s">
        <v>2616</v>
      </c>
      <c r="G170" s="20" t="s">
        <v>1507</v>
      </c>
      <c r="H170" s="118">
        <v>7316220023136</v>
      </c>
      <c r="J170" s="290"/>
      <c r="K170" s="39" t="s">
        <v>2378</v>
      </c>
      <c r="L170" s="38" t="s">
        <v>327</v>
      </c>
      <c r="M170" s="690">
        <v>12.99</v>
      </c>
      <c r="N170" s="37">
        <v>1</v>
      </c>
      <c r="O170" s="281">
        <v>5</v>
      </c>
      <c r="P170" s="46">
        <f>CONVERT(0.03,"kg","lbm")</f>
        <v>6.6138678655463273E-2</v>
      </c>
      <c r="Q170" s="35">
        <v>6.5</v>
      </c>
      <c r="R170" s="549">
        <f>CONVERT(76,"mm","in")</f>
        <v>2.9921259842519685</v>
      </c>
      <c r="S170" s="550">
        <v>2.5</v>
      </c>
      <c r="T170" s="95">
        <v>6.6138678655463273E-2</v>
      </c>
      <c r="U170" s="39">
        <v>13.5</v>
      </c>
      <c r="V170" s="39">
        <v>2.5</v>
      </c>
      <c r="W170" s="279">
        <v>0.2</v>
      </c>
      <c r="X170" s="94">
        <v>0.42</v>
      </c>
      <c r="Y170" s="93">
        <v>8.5</v>
      </c>
      <c r="Z170" s="93">
        <v>13</v>
      </c>
      <c r="AA170" s="291">
        <v>0.1</v>
      </c>
      <c r="AB170" s="46">
        <v>4.5</v>
      </c>
      <c r="AC170" s="35">
        <v>14</v>
      </c>
      <c r="AD170" s="35">
        <v>9</v>
      </c>
      <c r="AE170" s="72">
        <v>2</v>
      </c>
      <c r="AF170" s="46">
        <f>AC170*AD170*AE170/(12^3)</f>
        <v>0.14583333333333334</v>
      </c>
      <c r="AG170" s="4" t="s">
        <v>621</v>
      </c>
      <c r="AH170" s="39" t="s">
        <v>957</v>
      </c>
      <c r="AI170" s="39" t="s">
        <v>962</v>
      </c>
      <c r="AJ170" s="39" t="s">
        <v>973</v>
      </c>
      <c r="AK170" s="39" t="s">
        <v>980</v>
      </c>
      <c r="AL170" s="39"/>
      <c r="AM170" s="39"/>
      <c r="AN170" s="39"/>
      <c r="AO170" s="107"/>
      <c r="AP170" s="20" t="s">
        <v>1839</v>
      </c>
      <c r="AQ170" s="16" t="s">
        <v>937</v>
      </c>
    </row>
    <row r="171" spans="1:43" s="20" customFormat="1" x14ac:dyDescent="0.25">
      <c r="A171" s="20" t="s">
        <v>865</v>
      </c>
      <c r="C171" s="85" t="s">
        <v>1615</v>
      </c>
      <c r="D171" s="4" t="s">
        <v>621</v>
      </c>
      <c r="E171" s="85" t="s">
        <v>2379</v>
      </c>
      <c r="G171" s="20" t="s">
        <v>1507</v>
      </c>
      <c r="H171" s="118">
        <v>7391846011842</v>
      </c>
      <c r="J171" s="290"/>
      <c r="K171" s="39" t="s">
        <v>2378</v>
      </c>
      <c r="L171" s="38" t="s">
        <v>327</v>
      </c>
      <c r="M171" s="690">
        <v>14.99</v>
      </c>
      <c r="N171" s="37">
        <v>1</v>
      </c>
      <c r="O171" s="281">
        <v>5</v>
      </c>
      <c r="P171" s="46">
        <f>CONVERT(0.04,"kg","lbm")</f>
        <v>8.8184904873951031E-2</v>
      </c>
      <c r="Q171" s="35">
        <v>7</v>
      </c>
      <c r="R171" s="549">
        <f>CONVERT(100,"mm","in")</f>
        <v>3.9370078740157481</v>
      </c>
      <c r="S171" s="550">
        <v>2</v>
      </c>
      <c r="T171" s="95">
        <v>8.8184904873951031E-2</v>
      </c>
      <c r="U171" s="39">
        <v>13.5</v>
      </c>
      <c r="V171" s="39">
        <v>2.5</v>
      </c>
      <c r="W171" s="279">
        <v>0.2</v>
      </c>
      <c r="X171" s="94">
        <v>0.45</v>
      </c>
      <c r="Y171" s="93">
        <v>13.5</v>
      </c>
      <c r="Z171" s="93">
        <v>8.75</v>
      </c>
      <c r="AA171" s="291">
        <v>0.375</v>
      </c>
      <c r="AB171" s="46">
        <v>4.4000000000000004</v>
      </c>
      <c r="AC171" s="35">
        <v>14.5</v>
      </c>
      <c r="AD171" s="35">
        <v>9</v>
      </c>
      <c r="AE171" s="72">
        <v>2</v>
      </c>
      <c r="AF171" s="46">
        <f>AC171*AD171*AE171/(12^3)</f>
        <v>0.15104166666666666</v>
      </c>
      <c r="AG171" s="4" t="s">
        <v>621</v>
      </c>
      <c r="AH171" s="39" t="s">
        <v>955</v>
      </c>
      <c r="AI171" s="39" t="s">
        <v>959</v>
      </c>
      <c r="AJ171" s="39" t="s">
        <v>968</v>
      </c>
      <c r="AK171" s="39" t="s">
        <v>977</v>
      </c>
      <c r="AL171" s="39"/>
      <c r="AM171" s="39"/>
      <c r="AN171" s="39"/>
      <c r="AO171" s="107"/>
      <c r="AP171" s="20" t="s">
        <v>1839</v>
      </c>
      <c r="AQ171" s="16" t="s">
        <v>937</v>
      </c>
    </row>
    <row r="172" spans="1:43" s="20" customFormat="1" x14ac:dyDescent="0.25">
      <c r="A172" s="20" t="s">
        <v>865</v>
      </c>
      <c r="C172" s="85" t="s">
        <v>752</v>
      </c>
      <c r="D172" s="4" t="s">
        <v>2380</v>
      </c>
      <c r="E172" s="85" t="s">
        <v>2381</v>
      </c>
      <c r="G172" s="20" t="s">
        <v>1507</v>
      </c>
      <c r="H172" s="118">
        <v>7316220023334</v>
      </c>
      <c r="J172" s="290"/>
      <c r="K172" s="39" t="s">
        <v>2378</v>
      </c>
      <c r="L172" s="38" t="s">
        <v>327</v>
      </c>
      <c r="M172" s="690">
        <v>34.99</v>
      </c>
      <c r="N172" s="37">
        <v>1</v>
      </c>
      <c r="O172" s="281">
        <v>5</v>
      </c>
      <c r="P172" s="46">
        <f>CONVERT(0.049,"kg","lbm")</f>
        <v>0.10802650847059002</v>
      </c>
      <c r="Q172" s="35">
        <v>7.75</v>
      </c>
      <c r="R172" s="549">
        <f>CONVERT(100,"mm","in")</f>
        <v>3.9370078740157481</v>
      </c>
      <c r="S172" s="550">
        <v>2.7</v>
      </c>
      <c r="T172" s="95">
        <v>0.10802650847059</v>
      </c>
      <c r="U172" s="39">
        <v>13.5</v>
      </c>
      <c r="V172" s="39">
        <v>2.5</v>
      </c>
      <c r="W172" s="279">
        <v>0.2</v>
      </c>
      <c r="X172" s="94">
        <v>0.55000000000000004</v>
      </c>
      <c r="Y172" s="93">
        <v>13.5</v>
      </c>
      <c r="Z172" s="93">
        <v>8.75</v>
      </c>
      <c r="AA172" s="291">
        <v>0.375</v>
      </c>
      <c r="AB172" s="46">
        <v>5.5</v>
      </c>
      <c r="AC172" s="35">
        <v>14</v>
      </c>
      <c r="AD172" s="35">
        <v>9</v>
      </c>
      <c r="AE172" s="72">
        <v>2</v>
      </c>
      <c r="AF172" s="46">
        <f>AC172*AD172*AE172/(12^3)</f>
        <v>0.14583333333333334</v>
      </c>
      <c r="AG172" s="4" t="s">
        <v>522</v>
      </c>
      <c r="AH172" s="39" t="s">
        <v>956</v>
      </c>
      <c r="AI172" s="39" t="s">
        <v>959</v>
      </c>
      <c r="AJ172" s="39" t="s">
        <v>970</v>
      </c>
      <c r="AK172" s="39" t="s">
        <v>978</v>
      </c>
      <c r="AL172" s="39"/>
      <c r="AM172" s="39"/>
      <c r="AN172" s="39"/>
      <c r="AO172" s="107"/>
      <c r="AP172" s="20" t="s">
        <v>1839</v>
      </c>
      <c r="AQ172" s="16" t="s">
        <v>937</v>
      </c>
    </row>
    <row r="173" spans="1:43" s="20" customFormat="1" x14ac:dyDescent="0.25">
      <c r="A173" s="20" t="s">
        <v>865</v>
      </c>
      <c r="C173" s="85" t="s">
        <v>751</v>
      </c>
      <c r="D173" s="4" t="s">
        <v>649</v>
      </c>
      <c r="E173" s="85" t="s">
        <v>760</v>
      </c>
      <c r="G173" s="20" t="s">
        <v>1507</v>
      </c>
      <c r="H173" s="118">
        <v>7391846008613</v>
      </c>
      <c r="J173" s="290"/>
      <c r="K173" s="39" t="s">
        <v>2378</v>
      </c>
      <c r="L173" s="38" t="s">
        <v>327</v>
      </c>
      <c r="M173" s="690">
        <v>14.99</v>
      </c>
      <c r="N173" s="37">
        <v>1</v>
      </c>
      <c r="O173" s="281">
        <v>10</v>
      </c>
      <c r="P173" s="46">
        <f>CONVERT(0.037,"kg","lbm")</f>
        <v>8.1571037008404693E-2</v>
      </c>
      <c r="Q173" s="35">
        <v>7</v>
      </c>
      <c r="R173" s="549">
        <f>CONVERT(100,"mm","in")</f>
        <v>3.9370078740157481</v>
      </c>
      <c r="S173" s="550">
        <v>2</v>
      </c>
      <c r="T173" s="95">
        <v>8.1571037008404707E-2</v>
      </c>
      <c r="U173" s="39">
        <v>8</v>
      </c>
      <c r="V173" s="39">
        <v>2.5</v>
      </c>
      <c r="W173" s="279">
        <v>0.2</v>
      </c>
      <c r="X173" s="94">
        <v>0.45</v>
      </c>
      <c r="Y173" s="93">
        <v>13.5</v>
      </c>
      <c r="Z173" s="93">
        <v>8.75</v>
      </c>
      <c r="AA173" s="291">
        <v>0.375</v>
      </c>
      <c r="AB173" s="46">
        <v>4.4000000000000004</v>
      </c>
      <c r="AC173" s="35">
        <v>14.5</v>
      </c>
      <c r="AD173" s="35">
        <v>9</v>
      </c>
      <c r="AE173" s="72">
        <v>2</v>
      </c>
      <c r="AF173" s="46">
        <f t="shared" ref="AF173:AF180" si="13">AC173*AD173*AE173/(12^3)</f>
        <v>0.15104166666666666</v>
      </c>
      <c r="AG173" s="4" t="s">
        <v>649</v>
      </c>
      <c r="AH173" s="39" t="s">
        <v>955</v>
      </c>
      <c r="AI173" s="39" t="s">
        <v>959</v>
      </c>
      <c r="AJ173" s="39" t="s">
        <v>969</v>
      </c>
      <c r="AK173" s="39" t="s">
        <v>977</v>
      </c>
      <c r="AL173" s="39"/>
      <c r="AM173" s="39"/>
      <c r="AN173" s="39"/>
      <c r="AO173" s="107"/>
      <c r="AP173" s="20" t="s">
        <v>1839</v>
      </c>
      <c r="AQ173" s="16" t="s">
        <v>937</v>
      </c>
    </row>
    <row r="174" spans="1:43" s="20" customFormat="1" x14ac:dyDescent="0.25">
      <c r="A174" s="20" t="s">
        <v>865</v>
      </c>
      <c r="C174" s="85" t="s">
        <v>896</v>
      </c>
      <c r="D174" s="4" t="s">
        <v>621</v>
      </c>
      <c r="E174" s="85" t="s">
        <v>2382</v>
      </c>
      <c r="G174" s="20" t="s">
        <v>1507</v>
      </c>
      <c r="H174" s="118">
        <v>7391846010357</v>
      </c>
      <c r="J174" s="290"/>
      <c r="K174" s="39" t="s">
        <v>2378</v>
      </c>
      <c r="L174" s="38" t="s">
        <v>327</v>
      </c>
      <c r="M174" s="690">
        <v>24.99</v>
      </c>
      <c r="N174" s="37">
        <v>1</v>
      </c>
      <c r="O174" s="281">
        <v>5</v>
      </c>
      <c r="P174" s="46">
        <f>CONVERT(0.05,"kg","lbm")</f>
        <v>0.11023113109243879</v>
      </c>
      <c r="Q174" s="35">
        <v>7.25</v>
      </c>
      <c r="R174" s="549">
        <f>CONVERT(106,"mm","in")</f>
        <v>4.1732283464566926</v>
      </c>
      <c r="S174" s="550">
        <v>2.5</v>
      </c>
      <c r="T174" s="95">
        <v>0.11023113109243879</v>
      </c>
      <c r="U174" s="39">
        <v>8.5</v>
      </c>
      <c r="V174" s="39">
        <v>2.5</v>
      </c>
      <c r="W174" s="279">
        <v>0.2</v>
      </c>
      <c r="X174" s="262"/>
      <c r="Y174" s="263"/>
      <c r="Z174" s="263"/>
      <c r="AA174" s="264"/>
      <c r="AB174" s="46">
        <v>3.1</v>
      </c>
      <c r="AC174" s="35">
        <v>12.25</v>
      </c>
      <c r="AD174" s="35">
        <v>4.75</v>
      </c>
      <c r="AE174" s="72">
        <v>2.25</v>
      </c>
      <c r="AF174" s="46">
        <f>AC174*AD174*AE174/(12^3)</f>
        <v>7.5764973958333329E-2</v>
      </c>
      <c r="AG174" s="4" t="s">
        <v>621</v>
      </c>
      <c r="AH174" s="39" t="s">
        <v>957</v>
      </c>
      <c r="AI174" s="39" t="s">
        <v>961</v>
      </c>
      <c r="AJ174" s="39" t="s">
        <v>972</v>
      </c>
      <c r="AK174" s="39" t="s">
        <v>979</v>
      </c>
      <c r="AL174" s="39"/>
      <c r="AM174" s="39"/>
      <c r="AN174" s="39"/>
      <c r="AO174" s="107"/>
      <c r="AP174" s="20" t="s">
        <v>1839</v>
      </c>
      <c r="AQ174" s="16" t="s">
        <v>937</v>
      </c>
    </row>
    <row r="175" spans="1:43" s="410" customFormat="1" x14ac:dyDescent="0.25">
      <c r="A175" s="410" t="s">
        <v>865</v>
      </c>
      <c r="C175" s="598" t="s">
        <v>753</v>
      </c>
      <c r="D175" s="526" t="s">
        <v>2380</v>
      </c>
      <c r="E175" s="598" t="s">
        <v>2383</v>
      </c>
      <c r="G175" s="410" t="s">
        <v>1507</v>
      </c>
      <c r="H175" s="514">
        <v>7316220023433</v>
      </c>
      <c r="K175" s="421" t="s">
        <v>2378</v>
      </c>
      <c r="L175" s="415" t="s">
        <v>327</v>
      </c>
      <c r="M175" s="689">
        <v>34.99</v>
      </c>
      <c r="N175" s="417">
        <v>1</v>
      </c>
      <c r="O175" s="528">
        <v>5</v>
      </c>
      <c r="P175" s="419">
        <f>CONVERT(0.059,"kg","lbm")</f>
        <v>0.13007273468907776</v>
      </c>
      <c r="Q175" s="412">
        <v>7.75</v>
      </c>
      <c r="R175" s="551">
        <f>CONVERT(110,"mm","in")</f>
        <v>4.3307086614173231</v>
      </c>
      <c r="S175" s="552">
        <v>2.7</v>
      </c>
      <c r="T175" s="600">
        <v>0.13007273468907776</v>
      </c>
      <c r="U175" s="421">
        <v>13.5</v>
      </c>
      <c r="V175" s="421">
        <v>2.5</v>
      </c>
      <c r="W175" s="517">
        <v>0.2</v>
      </c>
      <c r="X175" s="529">
        <v>0.55000000000000004</v>
      </c>
      <c r="Y175" s="473">
        <v>8.5</v>
      </c>
      <c r="Z175" s="473">
        <v>13</v>
      </c>
      <c r="AA175" s="474">
        <v>0.1</v>
      </c>
      <c r="AB175" s="419"/>
      <c r="AC175" s="412">
        <v>14</v>
      </c>
      <c r="AD175" s="412">
        <v>9</v>
      </c>
      <c r="AE175" s="420">
        <v>2</v>
      </c>
      <c r="AF175" s="419">
        <f t="shared" si="13"/>
        <v>0.14583333333333334</v>
      </c>
      <c r="AG175" s="526" t="s">
        <v>522</v>
      </c>
      <c r="AH175" s="421" t="s">
        <v>957</v>
      </c>
      <c r="AI175" s="421" t="s">
        <v>960</v>
      </c>
      <c r="AJ175" s="421" t="s">
        <v>971</v>
      </c>
      <c r="AK175" s="421" t="s">
        <v>978</v>
      </c>
      <c r="AL175" s="421"/>
      <c r="AM175" s="421"/>
      <c r="AN175" s="421"/>
      <c r="AO175" s="601"/>
      <c r="AP175" s="410" t="s">
        <v>1839</v>
      </c>
      <c r="AQ175" s="410" t="s">
        <v>937</v>
      </c>
    </row>
    <row r="176" spans="1:43" s="20" customFormat="1" x14ac:dyDescent="0.25">
      <c r="A176" s="20" t="s">
        <v>865</v>
      </c>
      <c r="C176" s="85" t="s">
        <v>755</v>
      </c>
      <c r="D176" s="4" t="s">
        <v>621</v>
      </c>
      <c r="E176" s="85" t="s">
        <v>2617</v>
      </c>
      <c r="G176" s="20" t="s">
        <v>1507</v>
      </c>
      <c r="H176" s="118">
        <v>7316220023631</v>
      </c>
      <c r="J176" s="290"/>
      <c r="K176" s="39" t="s">
        <v>2378</v>
      </c>
      <c r="L176" s="38" t="s">
        <v>327</v>
      </c>
      <c r="M176" s="690">
        <v>19.989999999999998</v>
      </c>
      <c r="N176" s="37">
        <v>1</v>
      </c>
      <c r="O176" s="281">
        <v>5</v>
      </c>
      <c r="P176" s="46">
        <f>CONVERT(0.076,"kg","lbm")</f>
        <v>0.16755131926050695</v>
      </c>
      <c r="Q176" s="35">
        <v>10.5</v>
      </c>
      <c r="R176" s="549">
        <f>CONVERT(150,"mm","in")</f>
        <v>5.9055118110236222</v>
      </c>
      <c r="S176" s="550">
        <v>2.5</v>
      </c>
      <c r="T176" s="95">
        <v>0.16755131926050695</v>
      </c>
      <c r="U176" s="39">
        <v>13.5</v>
      </c>
      <c r="V176" s="39">
        <v>2.5</v>
      </c>
      <c r="W176" s="279">
        <v>0.2</v>
      </c>
      <c r="X176" s="94">
        <v>0.85</v>
      </c>
      <c r="Y176" s="93">
        <v>8.5</v>
      </c>
      <c r="Z176" s="93">
        <v>13</v>
      </c>
      <c r="AA176" s="291">
        <v>0.1</v>
      </c>
      <c r="AB176" s="134"/>
      <c r="AC176" s="35">
        <v>14</v>
      </c>
      <c r="AD176" s="35">
        <v>9</v>
      </c>
      <c r="AE176" s="72">
        <v>2</v>
      </c>
      <c r="AF176" s="46">
        <f t="shared" si="13"/>
        <v>0.14583333333333334</v>
      </c>
      <c r="AG176" s="4" t="s">
        <v>621</v>
      </c>
      <c r="AH176" s="39" t="s">
        <v>957</v>
      </c>
      <c r="AI176" s="39" t="s">
        <v>963</v>
      </c>
      <c r="AJ176" s="39" t="s">
        <v>974</v>
      </c>
      <c r="AK176" s="39" t="s">
        <v>981</v>
      </c>
      <c r="AL176" s="39"/>
      <c r="AM176" s="39"/>
      <c r="AN176" s="39"/>
      <c r="AO176" s="107"/>
      <c r="AP176" s="20" t="s">
        <v>1839</v>
      </c>
      <c r="AQ176" s="16" t="s">
        <v>937</v>
      </c>
    </row>
    <row r="177" spans="1:43" s="16" customFormat="1" x14ac:dyDescent="0.25">
      <c r="A177" s="20" t="s">
        <v>865</v>
      </c>
      <c r="B177" s="20"/>
      <c r="C177" s="85" t="s">
        <v>759</v>
      </c>
      <c r="D177" s="4" t="s">
        <v>649</v>
      </c>
      <c r="E177" s="85" t="s">
        <v>2618</v>
      </c>
      <c r="F177" s="20"/>
      <c r="G177" s="20" t="s">
        <v>1507</v>
      </c>
      <c r="H177" s="118">
        <v>7316220027226</v>
      </c>
      <c r="I177" s="20"/>
      <c r="J177" s="290"/>
      <c r="K177" s="39" t="s">
        <v>2378</v>
      </c>
      <c r="L177" s="38" t="s">
        <v>327</v>
      </c>
      <c r="M177" s="690">
        <v>74.989999999999995</v>
      </c>
      <c r="N177" s="37">
        <v>1</v>
      </c>
      <c r="O177" s="281">
        <v>5</v>
      </c>
      <c r="P177" s="46">
        <f>CONVERT(0.118,"kg","lbm")</f>
        <v>0.26014546937815552</v>
      </c>
      <c r="Q177" s="35">
        <v>8</v>
      </c>
      <c r="R177" s="549">
        <f>CONVERT(95,"mm","in")</f>
        <v>3.7401574803149606</v>
      </c>
      <c r="S177" s="550">
        <v>3.2</v>
      </c>
      <c r="T177" s="95">
        <v>0.26014546937815552</v>
      </c>
      <c r="U177" s="39">
        <v>13.5</v>
      </c>
      <c r="V177" s="39">
        <v>2.5</v>
      </c>
      <c r="W177" s="279">
        <v>0.2</v>
      </c>
      <c r="X177" s="94">
        <v>0.4</v>
      </c>
      <c r="Y177" s="93">
        <v>8.5</v>
      </c>
      <c r="Z177" s="93">
        <v>13</v>
      </c>
      <c r="AA177" s="291">
        <v>0.1</v>
      </c>
      <c r="AB177" s="46">
        <v>4.4000000000000004</v>
      </c>
      <c r="AC177" s="35">
        <v>14</v>
      </c>
      <c r="AD177" s="35">
        <v>9</v>
      </c>
      <c r="AE177" s="72">
        <v>2</v>
      </c>
      <c r="AF177" s="44">
        <f>AC177*AD177*AE177/(12^3)</f>
        <v>0.14583333333333334</v>
      </c>
      <c r="AG177" s="4" t="s">
        <v>649</v>
      </c>
      <c r="AH177" s="39" t="s">
        <v>956</v>
      </c>
      <c r="AI177" s="39" t="s">
        <v>967</v>
      </c>
      <c r="AJ177" s="39" t="s">
        <v>976</v>
      </c>
      <c r="AK177" s="39" t="s">
        <v>982</v>
      </c>
      <c r="AL177" s="39"/>
      <c r="AM177" s="39"/>
      <c r="AN177" s="39"/>
      <c r="AO177" s="107"/>
      <c r="AP177" s="20" t="s">
        <v>1839</v>
      </c>
      <c r="AQ177" s="16" t="s">
        <v>937</v>
      </c>
    </row>
    <row r="178" spans="1:43" s="20" customFormat="1" x14ac:dyDescent="0.25">
      <c r="A178" s="20" t="s">
        <v>865</v>
      </c>
      <c r="C178" s="85" t="s">
        <v>756</v>
      </c>
      <c r="D178" s="4" t="s">
        <v>2380</v>
      </c>
      <c r="E178" s="85" t="s">
        <v>2619</v>
      </c>
      <c r="G178" s="20" t="s">
        <v>1507</v>
      </c>
      <c r="H178" s="118">
        <v>7316220024232</v>
      </c>
      <c r="J178" s="290"/>
      <c r="K178" s="39" t="s">
        <v>2378</v>
      </c>
      <c r="L178" s="38" t="s">
        <v>327</v>
      </c>
      <c r="M178" s="690">
        <v>29.99</v>
      </c>
      <c r="N178" s="37">
        <v>1</v>
      </c>
      <c r="O178" s="281">
        <v>5</v>
      </c>
      <c r="P178" s="46">
        <f>CONVERT(0.066,"kg","lbm")</f>
        <v>0.1455050930420192</v>
      </c>
      <c r="Q178" s="35">
        <v>7.75</v>
      </c>
      <c r="R178" s="549">
        <f>CONVERT(81,"mm","in")</f>
        <v>3.1889763779527556</v>
      </c>
      <c r="S178" s="550">
        <v>2.7</v>
      </c>
      <c r="T178" s="95">
        <v>0.1455050930420192</v>
      </c>
      <c r="U178" s="39">
        <v>13.5</v>
      </c>
      <c r="V178" s="39">
        <v>2.5</v>
      </c>
      <c r="W178" s="279">
        <v>0.2</v>
      </c>
      <c r="X178" s="94">
        <v>0.4</v>
      </c>
      <c r="Y178" s="93">
        <v>8.5</v>
      </c>
      <c r="Z178" s="93">
        <v>13</v>
      </c>
      <c r="AA178" s="291">
        <v>0.1</v>
      </c>
      <c r="AB178" s="46">
        <v>4.4000000000000004</v>
      </c>
      <c r="AC178" s="35">
        <v>14</v>
      </c>
      <c r="AD178" s="35">
        <v>9</v>
      </c>
      <c r="AE178" s="72">
        <v>2</v>
      </c>
      <c r="AF178" s="46">
        <f t="shared" si="13"/>
        <v>0.14583333333333334</v>
      </c>
      <c r="AG178" s="4" t="s">
        <v>522</v>
      </c>
      <c r="AH178" s="39" t="s">
        <v>958</v>
      </c>
      <c r="AI178" s="39" t="s">
        <v>964</v>
      </c>
      <c r="AJ178" s="39" t="s">
        <v>975</v>
      </c>
      <c r="AK178" s="39" t="s">
        <v>978</v>
      </c>
      <c r="AL178" s="39"/>
      <c r="AM178" s="39"/>
      <c r="AN178" s="39"/>
      <c r="AO178" s="107"/>
      <c r="AP178" s="20" t="s">
        <v>1839</v>
      </c>
      <c r="AQ178" s="16" t="s">
        <v>937</v>
      </c>
    </row>
    <row r="179" spans="1:43" s="20" customFormat="1" x14ac:dyDescent="0.25">
      <c r="A179" s="20" t="s">
        <v>865</v>
      </c>
      <c r="C179" s="85" t="s">
        <v>758</v>
      </c>
      <c r="D179" s="4" t="s">
        <v>2380</v>
      </c>
      <c r="E179" s="85" t="s">
        <v>2620</v>
      </c>
      <c r="G179" s="20" t="s">
        <v>1507</v>
      </c>
      <c r="H179" s="118">
        <v>7316220026038</v>
      </c>
      <c r="J179" s="290"/>
      <c r="K179" s="39" t="s">
        <v>2378</v>
      </c>
      <c r="L179" s="38" t="s">
        <v>327</v>
      </c>
      <c r="M179" s="690">
        <v>29.99</v>
      </c>
      <c r="N179" s="37">
        <v>1</v>
      </c>
      <c r="O179" s="281">
        <v>5</v>
      </c>
      <c r="P179" s="46">
        <f>CONVERT(0.036,"kg","lbm")</f>
        <v>7.9366414386555922E-2</v>
      </c>
      <c r="Q179" s="35">
        <v>6.5</v>
      </c>
      <c r="R179" s="549">
        <f>CONVERT(59,"mm","in")</f>
        <v>2.3228346456692912</v>
      </c>
      <c r="S179" s="550">
        <v>2.7</v>
      </c>
      <c r="T179" s="95">
        <v>7.9366414386555922E-2</v>
      </c>
      <c r="U179" s="39">
        <v>13.5</v>
      </c>
      <c r="V179" s="39">
        <v>2.5</v>
      </c>
      <c r="W179" s="279">
        <v>0.2</v>
      </c>
      <c r="X179" s="262"/>
      <c r="Y179" s="263"/>
      <c r="Z179" s="263"/>
      <c r="AA179" s="264"/>
      <c r="AB179" s="134"/>
      <c r="AC179" s="135"/>
      <c r="AD179" s="135"/>
      <c r="AE179" s="136"/>
      <c r="AF179" s="46">
        <f>AC179*AD179*AE179/(12^3)</f>
        <v>0</v>
      </c>
      <c r="AG179" s="4" t="s">
        <v>522</v>
      </c>
      <c r="AH179" s="39" t="s">
        <v>957</v>
      </c>
      <c r="AI179" s="39" t="s">
        <v>966</v>
      </c>
      <c r="AJ179" s="39" t="s">
        <v>969</v>
      </c>
      <c r="AK179" s="39" t="s">
        <v>980</v>
      </c>
      <c r="AL179" s="39"/>
      <c r="AM179" s="39"/>
      <c r="AN179" s="39"/>
      <c r="AO179" s="107"/>
      <c r="AP179" s="20" t="s">
        <v>1839</v>
      </c>
      <c r="AQ179" s="16" t="s">
        <v>937</v>
      </c>
    </row>
    <row r="180" spans="1:43" s="20" customFormat="1" x14ac:dyDescent="0.25">
      <c r="A180" s="20" t="s">
        <v>865</v>
      </c>
      <c r="C180" s="85" t="s">
        <v>757</v>
      </c>
      <c r="D180" s="4" t="s">
        <v>649</v>
      </c>
      <c r="E180" s="85" t="s">
        <v>2621</v>
      </c>
      <c r="G180" s="20" t="s">
        <v>1507</v>
      </c>
      <c r="H180" s="118">
        <v>7316222500628</v>
      </c>
      <c r="J180" s="290"/>
      <c r="K180" s="39" t="s">
        <v>2378</v>
      </c>
      <c r="L180" s="38" t="s">
        <v>327</v>
      </c>
      <c r="M180" s="690">
        <v>29.99</v>
      </c>
      <c r="N180" s="37">
        <v>1</v>
      </c>
      <c r="O180" s="281">
        <v>5</v>
      </c>
      <c r="P180" s="46">
        <f>CONVERT(0.0493,"kg","lbm")</f>
        <v>0.10868789525714463</v>
      </c>
      <c r="Q180" s="35">
        <v>7.75</v>
      </c>
      <c r="R180" s="549">
        <f>CONVERT(115,"mm","in")</f>
        <v>4.5275590551181102</v>
      </c>
      <c r="S180" s="550">
        <v>2.5</v>
      </c>
      <c r="T180" s="95">
        <v>0.10868789525714463</v>
      </c>
      <c r="U180" s="39">
        <v>13.5</v>
      </c>
      <c r="V180" s="39">
        <v>2.5</v>
      </c>
      <c r="W180" s="279">
        <v>0.2</v>
      </c>
      <c r="X180" s="94">
        <v>0.6</v>
      </c>
      <c r="Y180" s="93">
        <v>8.5</v>
      </c>
      <c r="Z180" s="93">
        <v>13</v>
      </c>
      <c r="AA180" s="291">
        <v>0.1</v>
      </c>
      <c r="AB180" s="134"/>
      <c r="AC180" s="35">
        <v>14</v>
      </c>
      <c r="AD180" s="35">
        <v>9</v>
      </c>
      <c r="AE180" s="72">
        <v>2</v>
      </c>
      <c r="AF180" s="46">
        <f t="shared" si="13"/>
        <v>0.14583333333333334</v>
      </c>
      <c r="AG180" s="4" t="s">
        <v>649</v>
      </c>
      <c r="AH180" s="39" t="s">
        <v>957</v>
      </c>
      <c r="AI180" s="39" t="s">
        <v>965</v>
      </c>
      <c r="AJ180" s="39" t="s">
        <v>970</v>
      </c>
      <c r="AK180" s="39" t="s">
        <v>978</v>
      </c>
      <c r="AL180" s="39"/>
      <c r="AM180" s="39"/>
      <c r="AN180" s="39"/>
      <c r="AO180" s="107"/>
      <c r="AP180" s="20" t="s">
        <v>1839</v>
      </c>
      <c r="AQ180" s="16" t="s">
        <v>937</v>
      </c>
    </row>
    <row r="181" spans="1:43" s="20" customFormat="1" ht="15.6" x14ac:dyDescent="0.3">
      <c r="A181" s="557" t="s">
        <v>2392</v>
      </c>
      <c r="B181" s="557"/>
      <c r="C181" s="557"/>
      <c r="D181" s="35"/>
      <c r="E181" s="36"/>
      <c r="H181" s="265"/>
      <c r="K181" s="38"/>
      <c r="L181" s="38"/>
      <c r="M181" s="678"/>
      <c r="N181" s="37"/>
      <c r="O181" s="228"/>
      <c r="P181" s="46"/>
      <c r="Q181" s="35"/>
      <c r="R181" s="35"/>
      <c r="S181" s="72"/>
      <c r="T181" s="46"/>
      <c r="U181" s="35"/>
      <c r="V181" s="35"/>
      <c r="W181" s="72"/>
      <c r="X181" s="46"/>
      <c r="Y181" s="35" t="s">
        <v>648</v>
      </c>
      <c r="Z181" s="35"/>
      <c r="AA181" s="72"/>
      <c r="AB181" s="46"/>
      <c r="AC181" s="35"/>
      <c r="AD181" s="35"/>
      <c r="AE181" s="72"/>
      <c r="AF181" s="46"/>
    </row>
    <row r="182" spans="1:43" s="16" customFormat="1" x14ac:dyDescent="0.25">
      <c r="A182" s="524" t="s">
        <v>2272</v>
      </c>
      <c r="B182" s="533"/>
      <c r="C182" s="524"/>
      <c r="D182" s="525"/>
      <c r="E182" s="24"/>
      <c r="F182" s="21"/>
      <c r="H182" s="20"/>
      <c r="I182" s="30"/>
      <c r="J182" s="31"/>
      <c r="K182" s="31"/>
      <c r="L182" s="31"/>
      <c r="M182" s="691"/>
      <c r="N182" s="19"/>
      <c r="O182" s="77"/>
      <c r="P182" s="46"/>
      <c r="Q182" s="35"/>
      <c r="R182" s="35"/>
      <c r="S182" s="72"/>
      <c r="T182" s="44"/>
      <c r="U182" s="17"/>
      <c r="V182" s="17"/>
      <c r="W182" s="45"/>
      <c r="X182" s="44"/>
      <c r="Y182" s="17"/>
      <c r="Z182" s="17"/>
      <c r="AA182" s="45"/>
      <c r="AB182" s="44"/>
      <c r="AC182" s="17"/>
      <c r="AD182" s="17"/>
      <c r="AE182" s="45"/>
      <c r="AF182" s="46"/>
      <c r="AG182" s="22"/>
      <c r="AH182" s="22"/>
      <c r="AI182" s="22"/>
      <c r="AJ182" s="22"/>
      <c r="AK182" s="22"/>
      <c r="AL182" s="22"/>
      <c r="AM182" s="22"/>
      <c r="AN182" s="22"/>
      <c r="AO182" s="22"/>
      <c r="AQ182" s="23"/>
    </row>
    <row r="183" spans="1:43" s="20" customFormat="1" ht="12.75" customHeight="1" x14ac:dyDescent="0.3">
      <c r="A183" s="20" t="s">
        <v>2286</v>
      </c>
      <c r="C183" s="42" t="s">
        <v>691</v>
      </c>
      <c r="D183" s="4" t="s">
        <v>649</v>
      </c>
      <c r="E183" s="561" t="s">
        <v>704</v>
      </c>
      <c r="F183" s="20" t="s">
        <v>111</v>
      </c>
      <c r="G183" s="20" t="s">
        <v>1485</v>
      </c>
      <c r="H183" s="99" t="s">
        <v>766</v>
      </c>
      <c r="J183" s="290"/>
      <c r="K183" s="39" t="s">
        <v>2384</v>
      </c>
      <c r="L183" s="38" t="s">
        <v>327</v>
      </c>
      <c r="M183" s="686">
        <v>34.99</v>
      </c>
      <c r="N183" s="37">
        <v>1</v>
      </c>
      <c r="O183" s="281">
        <v>10</v>
      </c>
      <c r="P183" s="46">
        <f>CONVERT(0.111,"kg","lbm")</f>
        <v>0.24471311102521412</v>
      </c>
      <c r="Q183" s="35" t="s">
        <v>2385</v>
      </c>
      <c r="R183" s="549">
        <f>CONVERT(106,"mm","in")</f>
        <v>4.1732283464566926</v>
      </c>
      <c r="S183" s="550">
        <v>2.5</v>
      </c>
      <c r="T183" s="46">
        <v>0.24471311102521409</v>
      </c>
      <c r="U183" s="35">
        <v>10</v>
      </c>
      <c r="V183" s="35">
        <v>1.5</v>
      </c>
      <c r="W183" s="72">
        <v>1</v>
      </c>
      <c r="X183" s="94" t="s">
        <v>66</v>
      </c>
      <c r="Y183" s="93" t="s">
        <v>66</v>
      </c>
      <c r="Z183" s="93" t="s">
        <v>66</v>
      </c>
      <c r="AA183" s="291" t="s">
        <v>66</v>
      </c>
      <c r="AB183" s="46">
        <v>2.75</v>
      </c>
      <c r="AC183" s="35">
        <v>12</v>
      </c>
      <c r="AD183" s="35">
        <v>5</v>
      </c>
      <c r="AE183" s="72">
        <v>2.5</v>
      </c>
      <c r="AF183" s="46">
        <f t="shared" ref="AF183:AF189" si="14">AC183*AD183*AE183/(12^3)</f>
        <v>8.6805555555555552E-2</v>
      </c>
      <c r="AG183" s="569" t="s">
        <v>744</v>
      </c>
      <c r="AH183" s="290"/>
      <c r="AI183" s="569"/>
      <c r="AJ183" s="178"/>
      <c r="AK183" s="569"/>
      <c r="AL183" s="569"/>
      <c r="AM183" s="569"/>
      <c r="AN183" s="569"/>
      <c r="AO183" s="569"/>
      <c r="AP183" s="20" t="s">
        <v>1839</v>
      </c>
      <c r="AQ183" s="16" t="s">
        <v>937</v>
      </c>
    </row>
    <row r="184" spans="1:43" s="20" customFormat="1" ht="12.75" customHeight="1" x14ac:dyDescent="0.3">
      <c r="A184" s="20" t="s">
        <v>2286</v>
      </c>
      <c r="C184" s="42" t="s">
        <v>687</v>
      </c>
      <c r="D184" s="562" t="s">
        <v>649</v>
      </c>
      <c r="E184" s="561" t="s">
        <v>702</v>
      </c>
      <c r="F184" s="20" t="s">
        <v>111</v>
      </c>
      <c r="G184" s="20" t="s">
        <v>1485</v>
      </c>
      <c r="H184" s="99" t="s">
        <v>2386</v>
      </c>
      <c r="J184" s="290"/>
      <c r="K184" s="39" t="s">
        <v>2384</v>
      </c>
      <c r="L184" s="38" t="s">
        <v>327</v>
      </c>
      <c r="M184" s="686">
        <v>27.99</v>
      </c>
      <c r="N184" s="37">
        <v>1</v>
      </c>
      <c r="O184" s="563">
        <v>10</v>
      </c>
      <c r="P184" s="46">
        <f>CONVERT(0.128,"kg","lbm")</f>
        <v>0.28219169559664331</v>
      </c>
      <c r="Q184" s="35" t="s">
        <v>2385</v>
      </c>
      <c r="R184" s="549">
        <f>CONVERT(66,"mm","in")</f>
        <v>2.5984251968503935</v>
      </c>
      <c r="S184" s="550">
        <v>2</v>
      </c>
      <c r="T184" s="46">
        <v>0.28219169559664331</v>
      </c>
      <c r="U184" s="35">
        <v>7.5</v>
      </c>
      <c r="V184" s="35">
        <v>1.5</v>
      </c>
      <c r="W184" s="72">
        <v>0.75</v>
      </c>
      <c r="X184" s="94" t="s">
        <v>66</v>
      </c>
      <c r="Y184" s="93" t="s">
        <v>66</v>
      </c>
      <c r="Z184" s="93" t="s">
        <v>66</v>
      </c>
      <c r="AA184" s="291" t="s">
        <v>66</v>
      </c>
      <c r="AB184" s="46">
        <v>2.1</v>
      </c>
      <c r="AC184" s="35">
        <v>8.5</v>
      </c>
      <c r="AD184" s="35">
        <v>10.5</v>
      </c>
      <c r="AE184" s="72">
        <v>2</v>
      </c>
      <c r="AF184" s="46">
        <f t="shared" si="14"/>
        <v>0.1032986111111111</v>
      </c>
      <c r="AG184" s="178" t="s">
        <v>702</v>
      </c>
      <c r="AH184" s="574" t="s">
        <v>649</v>
      </c>
      <c r="AI184" s="178"/>
      <c r="AJ184" s="178"/>
      <c r="AK184" s="178"/>
      <c r="AL184" s="178"/>
      <c r="AM184" s="178"/>
      <c r="AN184" s="178"/>
      <c r="AO184" s="178"/>
      <c r="AP184" s="20" t="s">
        <v>1839</v>
      </c>
      <c r="AQ184" s="16" t="s">
        <v>937</v>
      </c>
    </row>
    <row r="185" spans="1:43" s="20" customFormat="1" ht="12.75" customHeight="1" x14ac:dyDescent="0.3">
      <c r="A185" s="20" t="s">
        <v>2286</v>
      </c>
      <c r="C185" s="42" t="s">
        <v>686</v>
      </c>
      <c r="D185" s="4" t="s">
        <v>649</v>
      </c>
      <c r="E185" s="561" t="s">
        <v>701</v>
      </c>
      <c r="F185" s="20" t="s">
        <v>111</v>
      </c>
      <c r="G185" s="20" t="s">
        <v>1485</v>
      </c>
      <c r="H185" s="5" t="s">
        <v>858</v>
      </c>
      <c r="J185" s="290"/>
      <c r="K185" s="39" t="s">
        <v>2384</v>
      </c>
      <c r="L185" s="38" t="s">
        <v>327</v>
      </c>
      <c r="M185" s="686">
        <v>19.989999999999998</v>
      </c>
      <c r="N185" s="37">
        <v>1</v>
      </c>
      <c r="O185" s="281">
        <v>10</v>
      </c>
      <c r="P185" s="46">
        <f>CONVERT(0.089,"kg","lbm")</f>
        <v>0.19621141334454104</v>
      </c>
      <c r="Q185" s="549">
        <f>CONVERT(192,"mm","in")</f>
        <v>7.559055118110237</v>
      </c>
      <c r="R185" s="549" t="s">
        <v>66</v>
      </c>
      <c r="S185" s="550" t="s">
        <v>66</v>
      </c>
      <c r="T185" s="46">
        <v>0.19621141334454104</v>
      </c>
      <c r="U185" s="35">
        <v>7.5</v>
      </c>
      <c r="V185" s="35">
        <v>1.25</v>
      </c>
      <c r="W185" s="72">
        <v>1</v>
      </c>
      <c r="X185" s="94" t="s">
        <v>66</v>
      </c>
      <c r="Y185" s="93" t="s">
        <v>66</v>
      </c>
      <c r="Z185" s="93" t="s">
        <v>66</v>
      </c>
      <c r="AA185" s="291" t="s">
        <v>66</v>
      </c>
      <c r="AB185" s="46">
        <v>2.33</v>
      </c>
      <c r="AC185" s="35">
        <v>10.5</v>
      </c>
      <c r="AD185" s="35">
        <v>9</v>
      </c>
      <c r="AE185" s="72">
        <v>2</v>
      </c>
      <c r="AF185" s="46">
        <f t="shared" si="14"/>
        <v>0.109375</v>
      </c>
      <c r="AG185" s="569" t="s">
        <v>853</v>
      </c>
      <c r="AH185" s="570" t="s">
        <v>854</v>
      </c>
      <c r="AI185" s="569" t="s">
        <v>739</v>
      </c>
      <c r="AJ185" s="178"/>
      <c r="AK185" s="569"/>
      <c r="AL185" s="569"/>
      <c r="AM185" s="569"/>
      <c r="AN185" s="569"/>
      <c r="AO185" s="569"/>
      <c r="AP185" s="20" t="s">
        <v>1839</v>
      </c>
      <c r="AQ185" s="16" t="s">
        <v>937</v>
      </c>
    </row>
    <row r="186" spans="1:43" s="20" customFormat="1" ht="13.8" x14ac:dyDescent="0.3">
      <c r="A186" s="20" t="s">
        <v>2286</v>
      </c>
      <c r="C186" s="42" t="s">
        <v>688</v>
      </c>
      <c r="D186" s="4" t="s">
        <v>649</v>
      </c>
      <c r="E186" s="11" t="s">
        <v>2387</v>
      </c>
      <c r="F186" s="20" t="s">
        <v>111</v>
      </c>
      <c r="G186" s="20" t="s">
        <v>1485</v>
      </c>
      <c r="H186" s="99" t="s">
        <v>764</v>
      </c>
      <c r="J186" s="290"/>
      <c r="K186" s="39" t="s">
        <v>2384</v>
      </c>
      <c r="L186" s="38" t="s">
        <v>327</v>
      </c>
      <c r="M186" s="686">
        <v>39.99</v>
      </c>
      <c r="N186" s="37">
        <v>1</v>
      </c>
      <c r="O186" s="281">
        <v>10</v>
      </c>
      <c r="P186" s="46">
        <f>CONVERT(0.128,"kg","lbm")</f>
        <v>0.28219169559664331</v>
      </c>
      <c r="Q186" s="35" t="s">
        <v>2385</v>
      </c>
      <c r="R186" s="549">
        <f>CONVERT(66,"mm","in")</f>
        <v>2.5984251968503935</v>
      </c>
      <c r="S186" s="550">
        <v>2</v>
      </c>
      <c r="T186" s="46">
        <v>0.28219169559664331</v>
      </c>
      <c r="U186" s="35">
        <v>10</v>
      </c>
      <c r="V186" s="35">
        <v>1.5</v>
      </c>
      <c r="W186" s="72">
        <v>1</v>
      </c>
      <c r="X186" s="94" t="s">
        <v>66</v>
      </c>
      <c r="Y186" s="93" t="s">
        <v>66</v>
      </c>
      <c r="Z186" s="93" t="s">
        <v>66</v>
      </c>
      <c r="AA186" s="291" t="s">
        <v>66</v>
      </c>
      <c r="AB186" s="46">
        <v>3.05</v>
      </c>
      <c r="AC186" s="35">
        <v>14</v>
      </c>
      <c r="AD186" s="35">
        <v>5</v>
      </c>
      <c r="AE186" s="72">
        <v>2</v>
      </c>
      <c r="AF186" s="46">
        <f t="shared" si="14"/>
        <v>8.1018518518518517E-2</v>
      </c>
      <c r="AG186" s="569" t="s">
        <v>736</v>
      </c>
      <c r="AH186" s="570" t="s">
        <v>740</v>
      </c>
      <c r="AI186" s="569" t="s">
        <v>783</v>
      </c>
      <c r="AJ186" s="178" t="s">
        <v>739</v>
      </c>
      <c r="AK186" s="569" t="s">
        <v>738</v>
      </c>
      <c r="AL186" s="569"/>
      <c r="AM186" s="569"/>
      <c r="AN186" s="569"/>
      <c r="AO186" s="569" t="s">
        <v>736</v>
      </c>
      <c r="AP186" s="20" t="s">
        <v>1839</v>
      </c>
      <c r="AQ186" s="16" t="s">
        <v>937</v>
      </c>
    </row>
    <row r="187" spans="1:43" s="20" customFormat="1" ht="13.8" x14ac:dyDescent="0.3">
      <c r="A187" s="20" t="s">
        <v>2286</v>
      </c>
      <c r="C187" s="42" t="s">
        <v>682</v>
      </c>
      <c r="D187" s="4" t="s">
        <v>649</v>
      </c>
      <c r="E187" s="11" t="s">
        <v>2388</v>
      </c>
      <c r="F187" s="20" t="s">
        <v>111</v>
      </c>
      <c r="G187" s="20" t="s">
        <v>1485</v>
      </c>
      <c r="H187" s="99" t="s">
        <v>762</v>
      </c>
      <c r="J187" s="290"/>
      <c r="K187" s="39" t="s">
        <v>2384</v>
      </c>
      <c r="L187" s="38" t="s">
        <v>327</v>
      </c>
      <c r="M187" s="686">
        <v>39.99</v>
      </c>
      <c r="N187" s="37">
        <v>1</v>
      </c>
      <c r="O187" s="281">
        <v>10</v>
      </c>
      <c r="P187" s="46">
        <f>CONVERT(0.128,"kg","lbm")</f>
        <v>0.28219169559664331</v>
      </c>
      <c r="Q187" s="35" t="s">
        <v>2389</v>
      </c>
      <c r="R187" s="549">
        <f>CONVERT(151,"mm","in")</f>
        <v>5.9448818897637796</v>
      </c>
      <c r="S187" s="550">
        <v>2</v>
      </c>
      <c r="T187" s="46">
        <v>0.28219169559664331</v>
      </c>
      <c r="U187" s="35">
        <v>13</v>
      </c>
      <c r="V187" s="35">
        <v>1.5</v>
      </c>
      <c r="W187" s="72">
        <v>1</v>
      </c>
      <c r="X187" s="94" t="s">
        <v>66</v>
      </c>
      <c r="Y187" s="93" t="s">
        <v>66</v>
      </c>
      <c r="Z187" s="93" t="s">
        <v>66</v>
      </c>
      <c r="AA187" s="291" t="s">
        <v>66</v>
      </c>
      <c r="AB187" s="46">
        <v>3</v>
      </c>
      <c r="AC187" s="35">
        <v>15</v>
      </c>
      <c r="AD187" s="35">
        <v>5</v>
      </c>
      <c r="AE187" s="72">
        <v>3</v>
      </c>
      <c r="AF187" s="46">
        <f t="shared" si="14"/>
        <v>0.13020833333333334</v>
      </c>
      <c r="AG187" s="569" t="s">
        <v>736</v>
      </c>
      <c r="AH187" s="570" t="s">
        <v>737</v>
      </c>
      <c r="AI187" s="569" t="s">
        <v>2391</v>
      </c>
      <c r="AJ187" s="178" t="s">
        <v>739</v>
      </c>
      <c r="AK187" s="569" t="s">
        <v>740</v>
      </c>
      <c r="AL187" s="569"/>
      <c r="AM187" s="569"/>
      <c r="AN187" s="569"/>
      <c r="AO187" s="569" t="s">
        <v>736</v>
      </c>
      <c r="AP187" s="20" t="s">
        <v>1839</v>
      </c>
      <c r="AQ187" s="16" t="s">
        <v>937</v>
      </c>
    </row>
    <row r="188" spans="1:43" s="16" customFormat="1" ht="12.75" customHeight="1" x14ac:dyDescent="0.3">
      <c r="A188" s="20" t="s">
        <v>2286</v>
      </c>
      <c r="B188" s="20"/>
      <c r="C188" s="42" t="s">
        <v>683</v>
      </c>
      <c r="D188" s="4" t="s">
        <v>649</v>
      </c>
      <c r="E188" s="11" t="s">
        <v>2393</v>
      </c>
      <c r="F188" s="20" t="s">
        <v>111</v>
      </c>
      <c r="G188" s="20" t="s">
        <v>1485</v>
      </c>
      <c r="H188" s="564">
        <v>7391846007524</v>
      </c>
      <c r="I188" s="20"/>
      <c r="J188" s="290"/>
      <c r="K188" s="39" t="s">
        <v>2384</v>
      </c>
      <c r="L188" s="38" t="s">
        <v>327</v>
      </c>
      <c r="M188" s="686">
        <v>39.99</v>
      </c>
      <c r="N188" s="37">
        <v>1</v>
      </c>
      <c r="O188" s="281">
        <v>10</v>
      </c>
      <c r="P188" s="46">
        <f>CONVERT(0.119,"kg","lbm")</f>
        <v>0.26235009200000431</v>
      </c>
      <c r="Q188" s="35" t="s">
        <v>2394</v>
      </c>
      <c r="R188" s="549">
        <f>CONVERT(118,"mm","in")</f>
        <v>4.6456692913385824</v>
      </c>
      <c r="S188" s="550">
        <v>2</v>
      </c>
      <c r="T188" s="46">
        <v>0.26235009200000431</v>
      </c>
      <c r="U188" s="35">
        <v>12</v>
      </c>
      <c r="V188" s="35">
        <v>1.375</v>
      </c>
      <c r="W188" s="72">
        <v>0.75</v>
      </c>
      <c r="X188" s="94" t="s">
        <v>66</v>
      </c>
      <c r="Y188" s="93" t="s">
        <v>66</v>
      </c>
      <c r="Z188" s="93" t="s">
        <v>66</v>
      </c>
      <c r="AA188" s="291" t="s">
        <v>66</v>
      </c>
      <c r="AB188" s="46">
        <v>2</v>
      </c>
      <c r="AC188" s="35">
        <v>14</v>
      </c>
      <c r="AD188" s="35">
        <v>5</v>
      </c>
      <c r="AE188" s="72">
        <v>2.5</v>
      </c>
      <c r="AF188" s="44">
        <f t="shared" si="14"/>
        <v>0.10127314814814815</v>
      </c>
      <c r="AG188" s="569" t="s">
        <v>736</v>
      </c>
      <c r="AH188" s="570" t="s">
        <v>741</v>
      </c>
      <c r="AI188" s="569" t="s">
        <v>738</v>
      </c>
      <c r="AJ188" s="178" t="s">
        <v>739</v>
      </c>
      <c r="AK188" s="569" t="s">
        <v>742</v>
      </c>
      <c r="AL188" s="569"/>
      <c r="AM188" s="569"/>
      <c r="AN188" s="569"/>
      <c r="AO188" s="569" t="s">
        <v>736</v>
      </c>
      <c r="AP188" s="20" t="s">
        <v>1839</v>
      </c>
      <c r="AQ188" s="16" t="s">
        <v>937</v>
      </c>
    </row>
    <row r="189" spans="1:43" s="16" customFormat="1" ht="12.75" customHeight="1" x14ac:dyDescent="0.3">
      <c r="A189" s="20" t="s">
        <v>2286</v>
      </c>
      <c r="B189" s="20"/>
      <c r="C189" s="42" t="s">
        <v>689</v>
      </c>
      <c r="D189" s="4" t="s">
        <v>649</v>
      </c>
      <c r="E189" s="561" t="s">
        <v>1493</v>
      </c>
      <c r="F189" s="20" t="s">
        <v>111</v>
      </c>
      <c r="G189" s="20" t="s">
        <v>1485</v>
      </c>
      <c r="H189" s="99" t="s">
        <v>765</v>
      </c>
      <c r="I189" s="20"/>
      <c r="J189" s="290"/>
      <c r="K189" s="39" t="s">
        <v>2384</v>
      </c>
      <c r="L189" s="38" t="s">
        <v>327</v>
      </c>
      <c r="M189" s="686">
        <v>59.99</v>
      </c>
      <c r="N189" s="37">
        <v>1</v>
      </c>
      <c r="O189" s="281">
        <v>10</v>
      </c>
      <c r="P189" s="46">
        <f>CONVERT(0.142,"kg","lbm")</f>
        <v>0.31305641230252612</v>
      </c>
      <c r="Q189" s="549">
        <f>CONVERT(275,"mm","in")</f>
        <v>10.826771653543307</v>
      </c>
      <c r="R189" s="549">
        <f>CONVERT(130,"mm","in")</f>
        <v>5.1181102362204731</v>
      </c>
      <c r="S189" s="550">
        <v>2.5</v>
      </c>
      <c r="T189" s="46">
        <v>0.31305641230252618</v>
      </c>
      <c r="U189" s="35">
        <v>11.5</v>
      </c>
      <c r="V189" s="35">
        <v>1.5</v>
      </c>
      <c r="W189" s="72">
        <v>1</v>
      </c>
      <c r="X189" s="94" t="s">
        <v>66</v>
      </c>
      <c r="Y189" s="93" t="s">
        <v>66</v>
      </c>
      <c r="Z189" s="93" t="s">
        <v>66</v>
      </c>
      <c r="AA189" s="291" t="s">
        <v>66</v>
      </c>
      <c r="AB189" s="46">
        <v>3.25</v>
      </c>
      <c r="AC189" s="35">
        <v>15</v>
      </c>
      <c r="AD189" s="35">
        <v>5</v>
      </c>
      <c r="AE189" s="72">
        <v>3</v>
      </c>
      <c r="AF189" s="44">
        <f t="shared" si="14"/>
        <v>0.13020833333333334</v>
      </c>
      <c r="AG189" s="569" t="s">
        <v>736</v>
      </c>
      <c r="AH189" s="570" t="s">
        <v>855</v>
      </c>
      <c r="AI189" s="569" t="s">
        <v>739</v>
      </c>
      <c r="AJ189" s="178" t="s">
        <v>783</v>
      </c>
      <c r="AK189" s="569" t="s">
        <v>856</v>
      </c>
      <c r="AL189" s="569"/>
      <c r="AM189" s="569"/>
      <c r="AN189" s="569"/>
      <c r="AO189" s="569" t="s">
        <v>736</v>
      </c>
      <c r="AP189" s="20" t="s">
        <v>1839</v>
      </c>
      <c r="AQ189" s="16" t="s">
        <v>937</v>
      </c>
    </row>
    <row r="190" spans="1:43" s="16" customFormat="1" ht="12.75" customHeight="1" x14ac:dyDescent="0.3">
      <c r="A190" s="20" t="s">
        <v>2286</v>
      </c>
      <c r="B190" s="20"/>
      <c r="C190" s="42" t="s">
        <v>684</v>
      </c>
      <c r="D190" s="4" t="s">
        <v>649</v>
      </c>
      <c r="E190" s="561" t="s">
        <v>2395</v>
      </c>
      <c r="F190" s="20" t="s">
        <v>859</v>
      </c>
      <c r="G190" s="20" t="s">
        <v>1485</v>
      </c>
      <c r="H190" s="564">
        <v>7391846008408</v>
      </c>
      <c r="I190" s="20"/>
      <c r="J190" s="290"/>
      <c r="K190" s="39" t="s">
        <v>2308</v>
      </c>
      <c r="L190" s="38" t="s">
        <v>327</v>
      </c>
      <c r="M190" s="686">
        <v>79.989999999999995</v>
      </c>
      <c r="N190" s="37">
        <v>1</v>
      </c>
      <c r="O190" s="281">
        <v>10</v>
      </c>
      <c r="P190" s="46">
        <f>CONVERT(0.081,"kg","lbm")</f>
        <v>0.17857443236975085</v>
      </c>
      <c r="Q190" s="549">
        <f>CONVERT(287,"mm","in")</f>
        <v>11.299212598425196</v>
      </c>
      <c r="R190" s="549">
        <f>CONVERT(118,"mm","in")</f>
        <v>4.6456692913385824</v>
      </c>
      <c r="S190" s="550">
        <v>2</v>
      </c>
      <c r="T190" s="46">
        <v>0.17857443236975085</v>
      </c>
      <c r="U190" s="35">
        <v>11</v>
      </c>
      <c r="V190" s="35">
        <v>1.5</v>
      </c>
      <c r="W190" s="72">
        <v>1</v>
      </c>
      <c r="X190" s="94" t="s">
        <v>66</v>
      </c>
      <c r="Y190" s="93" t="s">
        <v>66</v>
      </c>
      <c r="Z190" s="93" t="s">
        <v>66</v>
      </c>
      <c r="AA190" s="291" t="s">
        <v>66</v>
      </c>
      <c r="AB190" s="46">
        <v>2.25</v>
      </c>
      <c r="AC190" s="35">
        <v>15</v>
      </c>
      <c r="AD190" s="35">
        <v>5</v>
      </c>
      <c r="AE190" s="72">
        <v>2.5</v>
      </c>
      <c r="AF190" s="44">
        <f t="shared" ref="AF190:AF220" si="15">AC190*AD190*AE190/(12^3)</f>
        <v>0.10850694444444445</v>
      </c>
      <c r="AG190" s="569" t="s">
        <v>743</v>
      </c>
      <c r="AH190" s="569" t="s">
        <v>741</v>
      </c>
      <c r="AI190" s="178" t="s">
        <v>738</v>
      </c>
      <c r="AJ190" s="290" t="s">
        <v>739</v>
      </c>
      <c r="AK190" s="569" t="s">
        <v>726</v>
      </c>
      <c r="AL190" s="569"/>
      <c r="AM190" s="569"/>
      <c r="AN190" s="569"/>
      <c r="AO190" s="569" t="s">
        <v>743</v>
      </c>
      <c r="AP190" s="20" t="s">
        <v>1839</v>
      </c>
      <c r="AQ190" s="16" t="s">
        <v>937</v>
      </c>
    </row>
    <row r="191" spans="1:43" s="16" customFormat="1" ht="12.75" customHeight="1" x14ac:dyDescent="0.3">
      <c r="A191" s="20" t="s">
        <v>2286</v>
      </c>
      <c r="B191" s="20"/>
      <c r="C191" s="42" t="s">
        <v>2273</v>
      </c>
      <c r="D191" s="4" t="s">
        <v>649</v>
      </c>
      <c r="E191" s="561" t="s">
        <v>2274</v>
      </c>
      <c r="F191" s="20" t="s">
        <v>49</v>
      </c>
      <c r="G191" s="20" t="s">
        <v>1485</v>
      </c>
      <c r="H191" s="564">
        <v>7391846103011</v>
      </c>
      <c r="I191" s="20"/>
      <c r="J191" s="137">
        <v>7391846103066</v>
      </c>
      <c r="K191" s="39" t="s">
        <v>2384</v>
      </c>
      <c r="L191" s="38" t="s">
        <v>327</v>
      </c>
      <c r="M191" s="686">
        <v>22.99</v>
      </c>
      <c r="N191" s="37">
        <v>1</v>
      </c>
      <c r="O191" s="281">
        <v>10</v>
      </c>
      <c r="P191" s="46">
        <f>CONVERT(0.143,"kg","lbm")</f>
        <v>0.31526103492437491</v>
      </c>
      <c r="Q191" s="35" t="s">
        <v>2385</v>
      </c>
      <c r="R191" s="549">
        <f>CONVERT(170,"mm","in")</f>
        <v>6.6929133858267713</v>
      </c>
      <c r="S191" s="550">
        <v>2.5</v>
      </c>
      <c r="T191" s="46"/>
      <c r="U191" s="135"/>
      <c r="V191" s="135"/>
      <c r="W191" s="136"/>
      <c r="X191" s="94" t="s">
        <v>66</v>
      </c>
      <c r="Y191" s="93" t="s">
        <v>66</v>
      </c>
      <c r="Z191" s="93" t="s">
        <v>66</v>
      </c>
      <c r="AA191" s="291" t="s">
        <v>66</v>
      </c>
      <c r="AB191" s="134"/>
      <c r="AC191" s="135"/>
      <c r="AD191" s="135"/>
      <c r="AE191" s="136"/>
      <c r="AF191" s="44">
        <f t="shared" si="15"/>
        <v>0</v>
      </c>
      <c r="AG191" s="569"/>
      <c r="AH191" s="569"/>
      <c r="AI191" s="178"/>
      <c r="AJ191" s="290"/>
      <c r="AK191" s="569"/>
      <c r="AL191" s="569"/>
      <c r="AM191" s="569"/>
      <c r="AN191" s="569"/>
      <c r="AO191" s="569"/>
      <c r="AP191" s="20" t="s">
        <v>1839</v>
      </c>
      <c r="AQ191" s="16" t="s">
        <v>937</v>
      </c>
    </row>
    <row r="192" spans="1:43" s="16" customFormat="1" ht="12.75" customHeight="1" x14ac:dyDescent="0.3">
      <c r="A192" s="20" t="s">
        <v>2286</v>
      </c>
      <c r="B192" s="20"/>
      <c r="C192" s="42" t="s">
        <v>2275</v>
      </c>
      <c r="D192" s="4" t="s">
        <v>649</v>
      </c>
      <c r="E192" s="561" t="s">
        <v>2276</v>
      </c>
      <c r="F192" s="20" t="s">
        <v>49</v>
      </c>
      <c r="G192" s="20" t="s">
        <v>1485</v>
      </c>
      <c r="H192" s="564">
        <v>7391846104018</v>
      </c>
      <c r="I192" s="20"/>
      <c r="J192" s="137">
        <v>7391846104063</v>
      </c>
      <c r="K192" s="39" t="s">
        <v>2384</v>
      </c>
      <c r="L192" s="38" t="s">
        <v>327</v>
      </c>
      <c r="M192" s="686">
        <v>29.99</v>
      </c>
      <c r="N192" s="37">
        <v>1</v>
      </c>
      <c r="O192" s="281">
        <v>10</v>
      </c>
      <c r="P192" s="46">
        <f>CONVERT(0.161,"kg","lbm")</f>
        <v>0.35494424211765291</v>
      </c>
      <c r="Q192" s="35" t="s">
        <v>2385</v>
      </c>
      <c r="R192" s="549">
        <f>CONVERT(170,"mm","in")</f>
        <v>6.6929133858267713</v>
      </c>
      <c r="S192" s="550">
        <v>2.5</v>
      </c>
      <c r="T192" s="46"/>
      <c r="U192" s="135"/>
      <c r="V192" s="135"/>
      <c r="W192" s="136"/>
      <c r="X192" s="94" t="s">
        <v>66</v>
      </c>
      <c r="Y192" s="93" t="s">
        <v>66</v>
      </c>
      <c r="Z192" s="93" t="s">
        <v>66</v>
      </c>
      <c r="AA192" s="291" t="s">
        <v>66</v>
      </c>
      <c r="AB192" s="134"/>
      <c r="AC192" s="135"/>
      <c r="AD192" s="135"/>
      <c r="AE192" s="136"/>
      <c r="AF192" s="44">
        <f t="shared" ref="AF192" si="16">AC192*AD192*AE192/(12^3)</f>
        <v>0</v>
      </c>
      <c r="AG192" s="569"/>
      <c r="AH192" s="569"/>
      <c r="AI192" s="178"/>
      <c r="AJ192" s="290"/>
      <c r="AK192" s="569"/>
      <c r="AL192" s="569"/>
      <c r="AM192" s="569"/>
      <c r="AN192" s="569"/>
      <c r="AO192" s="569"/>
      <c r="AP192" s="20" t="s">
        <v>1839</v>
      </c>
      <c r="AQ192" s="16" t="s">
        <v>937</v>
      </c>
    </row>
    <row r="193" spans="1:43" s="16" customFormat="1" ht="12.75" customHeight="1" x14ac:dyDescent="0.3">
      <c r="A193" s="20" t="s">
        <v>2286</v>
      </c>
      <c r="B193" s="20"/>
      <c r="C193" s="42" t="s">
        <v>690</v>
      </c>
      <c r="D193" s="4" t="s">
        <v>649</v>
      </c>
      <c r="E193" s="561" t="s">
        <v>703</v>
      </c>
      <c r="F193" s="20" t="s">
        <v>111</v>
      </c>
      <c r="G193" s="20" t="s">
        <v>1485</v>
      </c>
      <c r="H193" s="99" t="s">
        <v>2396</v>
      </c>
      <c r="I193" s="20"/>
      <c r="J193" s="290"/>
      <c r="K193" s="39" t="s">
        <v>2384</v>
      </c>
      <c r="L193" s="38" t="s">
        <v>327</v>
      </c>
      <c r="M193" s="686">
        <v>44.99</v>
      </c>
      <c r="N193" s="37">
        <v>1</v>
      </c>
      <c r="O193" s="281">
        <v>10</v>
      </c>
      <c r="P193" s="46">
        <f>CONVERT(0.088,"kg","lbm")</f>
        <v>0.19400679072269225</v>
      </c>
      <c r="Q193" s="35" t="s">
        <v>2385</v>
      </c>
      <c r="R193" s="549">
        <f>CONVERT(50,"mm","in")</f>
        <v>1.9685039370078741</v>
      </c>
      <c r="S193" s="550">
        <v>2.5</v>
      </c>
      <c r="T193" s="46">
        <v>0.19400679072269225</v>
      </c>
      <c r="U193" s="35">
        <v>9</v>
      </c>
      <c r="V193" s="35">
        <v>1.5</v>
      </c>
      <c r="W193" s="72">
        <v>1</v>
      </c>
      <c r="X193" s="94" t="s">
        <v>66</v>
      </c>
      <c r="Y193" s="93" t="s">
        <v>66</v>
      </c>
      <c r="Z193" s="93" t="s">
        <v>66</v>
      </c>
      <c r="AA193" s="291" t="s">
        <v>66</v>
      </c>
      <c r="AB193" s="46">
        <v>2.1</v>
      </c>
      <c r="AC193" s="35">
        <v>11</v>
      </c>
      <c r="AD193" s="35">
        <v>9</v>
      </c>
      <c r="AE193" s="72">
        <v>2</v>
      </c>
      <c r="AF193" s="44">
        <f>AC193*AD193*AE193/(12^3)</f>
        <v>0.11458333333333333</v>
      </c>
      <c r="AG193" s="569" t="s">
        <v>736</v>
      </c>
      <c r="AH193" s="570" t="s">
        <v>781</v>
      </c>
      <c r="AI193" s="569" t="s">
        <v>761</v>
      </c>
      <c r="AJ193" s="178" t="s">
        <v>783</v>
      </c>
      <c r="AK193" s="569" t="s">
        <v>782</v>
      </c>
      <c r="AL193" s="569"/>
      <c r="AM193" s="569"/>
      <c r="AN193" s="569"/>
      <c r="AO193" s="569" t="s">
        <v>736</v>
      </c>
      <c r="AP193" s="20" t="s">
        <v>1839</v>
      </c>
      <c r="AQ193" s="16" t="s">
        <v>937</v>
      </c>
    </row>
    <row r="194" spans="1:43" s="16" customFormat="1" ht="12.75" customHeight="1" x14ac:dyDescent="0.3">
      <c r="A194" s="20" t="s">
        <v>2286</v>
      </c>
      <c r="B194" s="20"/>
      <c r="C194" s="42" t="s">
        <v>2277</v>
      </c>
      <c r="D194" s="4" t="s">
        <v>649</v>
      </c>
      <c r="E194" s="561" t="s">
        <v>2278</v>
      </c>
      <c r="F194" s="20" t="s">
        <v>49</v>
      </c>
      <c r="G194" s="20" t="s">
        <v>1485</v>
      </c>
      <c r="H194" s="564">
        <v>7391846159100</v>
      </c>
      <c r="I194" s="20"/>
      <c r="J194" s="137">
        <v>7391846159162</v>
      </c>
      <c r="K194" s="39" t="s">
        <v>2384</v>
      </c>
      <c r="L194" s="38" t="s">
        <v>327</v>
      </c>
      <c r="M194" s="686">
        <v>34.99</v>
      </c>
      <c r="N194" s="37">
        <v>1</v>
      </c>
      <c r="O194" s="281">
        <v>10</v>
      </c>
      <c r="P194" s="46">
        <f>CONVERT(0.093,"kg","lbm")</f>
        <v>0.20502990383193614</v>
      </c>
      <c r="Q194" s="35" t="s">
        <v>2385</v>
      </c>
      <c r="R194" s="549">
        <f>CONVERT(50,"mm","in")</f>
        <v>1.9685039370078741</v>
      </c>
      <c r="S194" s="550">
        <v>2.5</v>
      </c>
      <c r="T194" s="46"/>
      <c r="U194" s="135"/>
      <c r="V194" s="135"/>
      <c r="W194" s="136"/>
      <c r="X194" s="94" t="s">
        <v>66</v>
      </c>
      <c r="Y194" s="93" t="s">
        <v>66</v>
      </c>
      <c r="Z194" s="93" t="s">
        <v>66</v>
      </c>
      <c r="AA194" s="291" t="s">
        <v>66</v>
      </c>
      <c r="AB194" s="134"/>
      <c r="AC194" s="135"/>
      <c r="AD194" s="135"/>
      <c r="AE194" s="136"/>
      <c r="AF194" s="44">
        <f t="shared" ref="AF194" si="17">AC194*AD194*AE194/(12^3)</f>
        <v>0</v>
      </c>
      <c r="AG194" s="569"/>
      <c r="AH194" s="569"/>
      <c r="AI194" s="178"/>
      <c r="AJ194" s="290"/>
      <c r="AK194" s="569"/>
      <c r="AL194" s="569"/>
      <c r="AM194" s="569"/>
      <c r="AN194" s="569"/>
      <c r="AO194" s="569"/>
      <c r="AP194" s="20" t="s">
        <v>1839</v>
      </c>
      <c r="AQ194" s="16" t="s">
        <v>937</v>
      </c>
    </row>
    <row r="195" spans="1:43" s="16" customFormat="1" x14ac:dyDescent="0.25">
      <c r="A195" s="524" t="s">
        <v>2279</v>
      </c>
      <c r="B195" s="533"/>
      <c r="C195" s="524"/>
      <c r="D195" s="525"/>
      <c r="E195" s="24"/>
      <c r="F195" s="21"/>
      <c r="H195" s="20"/>
      <c r="I195" s="30"/>
      <c r="J195" s="31"/>
      <c r="K195" s="31"/>
      <c r="L195" s="31"/>
      <c r="M195" s="691"/>
      <c r="N195" s="19"/>
      <c r="O195" s="77"/>
      <c r="P195" s="46"/>
      <c r="Q195" s="35"/>
      <c r="R195" s="35"/>
      <c r="S195" s="72"/>
      <c r="T195" s="44"/>
      <c r="U195" s="17"/>
      <c r="V195" s="17"/>
      <c r="W195" s="45"/>
      <c r="X195" s="44"/>
      <c r="Y195" s="17"/>
      <c r="Z195" s="17"/>
      <c r="AA195" s="45"/>
      <c r="AB195" s="44"/>
      <c r="AC195" s="17"/>
      <c r="AD195" s="17"/>
      <c r="AE195" s="45"/>
      <c r="AF195" s="46"/>
      <c r="AG195" s="22"/>
      <c r="AH195" s="22"/>
      <c r="AI195" s="22"/>
      <c r="AJ195" s="22"/>
      <c r="AK195" s="22"/>
      <c r="AL195" s="22"/>
      <c r="AM195" s="22"/>
      <c r="AN195" s="22"/>
      <c r="AO195" s="22"/>
      <c r="AQ195" s="23"/>
    </row>
    <row r="196" spans="1:43" s="16" customFormat="1" ht="13.8" x14ac:dyDescent="0.3">
      <c r="A196" s="20" t="s">
        <v>2286</v>
      </c>
      <c r="B196" s="20"/>
      <c r="C196" s="42" t="s">
        <v>2280</v>
      </c>
      <c r="D196" s="4" t="s">
        <v>649</v>
      </c>
      <c r="E196" s="561" t="s">
        <v>2281</v>
      </c>
      <c r="F196" s="20" t="s">
        <v>110</v>
      </c>
      <c r="G196" s="20" t="s">
        <v>1485</v>
      </c>
      <c r="H196" s="564">
        <v>7391846001577</v>
      </c>
      <c r="I196" s="20"/>
      <c r="J196" s="290"/>
      <c r="K196" s="39" t="s">
        <v>2384</v>
      </c>
      <c r="L196" s="38" t="s">
        <v>327</v>
      </c>
      <c r="M196" s="686">
        <v>29.99</v>
      </c>
      <c r="N196" s="37">
        <v>1</v>
      </c>
      <c r="O196" s="281">
        <v>10</v>
      </c>
      <c r="P196" s="46">
        <f>CONVERT(0.094,"kg","lbm")</f>
        <v>0.20723452645378493</v>
      </c>
      <c r="Q196" s="35" t="s">
        <v>2394</v>
      </c>
      <c r="R196" s="549">
        <f>CONVERT(125,"mm","in")</f>
        <v>4.9212598425196852</v>
      </c>
      <c r="S196" s="550" t="s">
        <v>66</v>
      </c>
      <c r="T196" s="46"/>
      <c r="U196" s="135"/>
      <c r="V196" s="135"/>
      <c r="W196" s="136"/>
      <c r="X196" s="94" t="s">
        <v>66</v>
      </c>
      <c r="Y196" s="93" t="s">
        <v>66</v>
      </c>
      <c r="Z196" s="93" t="s">
        <v>66</v>
      </c>
      <c r="AA196" s="291" t="s">
        <v>66</v>
      </c>
      <c r="AB196" s="134"/>
      <c r="AC196" s="135"/>
      <c r="AD196" s="135"/>
      <c r="AE196" s="136"/>
      <c r="AF196" s="44">
        <f t="shared" ref="AF196" si="18">AC196*AD196*AE196/(12^3)</f>
        <v>0</v>
      </c>
      <c r="AG196" s="569"/>
      <c r="AH196" s="569"/>
      <c r="AI196" s="178"/>
      <c r="AJ196" s="290"/>
      <c r="AK196" s="569"/>
      <c r="AL196" s="569"/>
      <c r="AM196" s="569"/>
      <c r="AN196" s="569"/>
      <c r="AO196" s="569"/>
      <c r="AP196" s="20" t="s">
        <v>1839</v>
      </c>
      <c r="AQ196" s="16" t="s">
        <v>937</v>
      </c>
    </row>
    <row r="197" spans="1:43" s="16" customFormat="1" ht="13.8" x14ac:dyDescent="0.3">
      <c r="A197" s="20" t="s">
        <v>2286</v>
      </c>
      <c r="B197" s="20"/>
      <c r="C197" s="42" t="s">
        <v>646</v>
      </c>
      <c r="D197" s="4" t="s">
        <v>649</v>
      </c>
      <c r="E197" s="561" t="s">
        <v>2397</v>
      </c>
      <c r="F197" s="20" t="s">
        <v>111</v>
      </c>
      <c r="G197" s="20" t="s">
        <v>1485</v>
      </c>
      <c r="H197" s="5" t="s">
        <v>770</v>
      </c>
      <c r="I197" s="20"/>
      <c r="J197" s="290"/>
      <c r="K197" s="39" t="s">
        <v>2384</v>
      </c>
      <c r="L197" s="38" t="s">
        <v>327</v>
      </c>
      <c r="M197" s="686">
        <v>39.99</v>
      </c>
      <c r="N197" s="37">
        <v>1</v>
      </c>
      <c r="O197" s="281">
        <v>10</v>
      </c>
      <c r="P197" s="46">
        <f>CONVERT(0.092,"kg","lbm")</f>
        <v>0.20282528121008736</v>
      </c>
      <c r="Q197" s="549">
        <f>CONVERT(269,"mm","in")</f>
        <v>10.590551181102363</v>
      </c>
      <c r="R197" s="549">
        <f>CONVERT(124,"mm","in")</f>
        <v>4.8818897637795269</v>
      </c>
      <c r="S197" s="550" t="s">
        <v>66</v>
      </c>
      <c r="T197" s="46">
        <v>0.20282528121008736</v>
      </c>
      <c r="U197" s="35">
        <v>10.5</v>
      </c>
      <c r="V197" s="35">
        <v>1.75</v>
      </c>
      <c r="W197" s="72">
        <v>1</v>
      </c>
      <c r="X197" s="94" t="s">
        <v>66</v>
      </c>
      <c r="Y197" s="93" t="s">
        <v>66</v>
      </c>
      <c r="Z197" s="93" t="s">
        <v>66</v>
      </c>
      <c r="AA197" s="291" t="s">
        <v>66</v>
      </c>
      <c r="AB197" s="46">
        <v>2.1</v>
      </c>
      <c r="AC197" s="35">
        <v>12.5</v>
      </c>
      <c r="AD197" s="35">
        <v>5</v>
      </c>
      <c r="AE197" s="72">
        <v>2.5</v>
      </c>
      <c r="AF197" s="44">
        <f>AC197*AD197*AE197/(12^3)</f>
        <v>9.0422453703703706E-2</v>
      </c>
      <c r="AG197" s="569" t="s">
        <v>744</v>
      </c>
      <c r="AH197" s="570" t="s">
        <v>745</v>
      </c>
      <c r="AI197" s="569" t="s">
        <v>746</v>
      </c>
      <c r="AJ197" s="178" t="s">
        <v>747</v>
      </c>
      <c r="AK197" s="569" t="s">
        <v>748</v>
      </c>
      <c r="AL197" s="569"/>
      <c r="AM197" s="569"/>
      <c r="AN197" s="569"/>
      <c r="AO197" s="569"/>
      <c r="AP197" s="20" t="s">
        <v>1839</v>
      </c>
      <c r="AQ197" s="16" t="s">
        <v>937</v>
      </c>
    </row>
    <row r="198" spans="1:43" s="16" customFormat="1" ht="13.8" x14ac:dyDescent="0.3">
      <c r="A198" s="20" t="s">
        <v>2286</v>
      </c>
      <c r="B198" s="20"/>
      <c r="C198" s="42" t="s">
        <v>697</v>
      </c>
      <c r="D198" s="4" t="s">
        <v>649</v>
      </c>
      <c r="E198" s="561" t="s">
        <v>2398</v>
      </c>
      <c r="F198" s="20" t="s">
        <v>111</v>
      </c>
      <c r="G198" s="20" t="s">
        <v>1485</v>
      </c>
      <c r="H198" s="564">
        <v>7391846008163</v>
      </c>
      <c r="I198" s="20"/>
      <c r="J198" s="290"/>
      <c r="K198" s="39" t="s">
        <v>2384</v>
      </c>
      <c r="L198" s="38" t="s">
        <v>327</v>
      </c>
      <c r="M198" s="686">
        <v>39.99</v>
      </c>
      <c r="N198" s="37">
        <v>1</v>
      </c>
      <c r="O198" s="281">
        <v>10</v>
      </c>
      <c r="P198" s="46">
        <f>CONVERT(0.107,"kg","lbm")</f>
        <v>0.23589462053781898</v>
      </c>
      <c r="Q198" s="549">
        <f>CONVERT(299,"mm","in")</f>
        <v>11.771653543307085</v>
      </c>
      <c r="R198" s="549">
        <f>CONVERT(154,"mm","in")</f>
        <v>6.0629921259842527</v>
      </c>
      <c r="S198" s="550" t="s">
        <v>66</v>
      </c>
      <c r="T198" s="46">
        <v>0.23589462053781901</v>
      </c>
      <c r="U198" s="35">
        <v>11</v>
      </c>
      <c r="V198" s="35">
        <v>1.75</v>
      </c>
      <c r="W198" s="72">
        <v>1</v>
      </c>
      <c r="X198" s="94" t="s">
        <v>66</v>
      </c>
      <c r="Y198" s="93" t="s">
        <v>66</v>
      </c>
      <c r="Z198" s="93" t="s">
        <v>66</v>
      </c>
      <c r="AA198" s="291" t="s">
        <v>66</v>
      </c>
      <c r="AB198" s="46">
        <v>2.7</v>
      </c>
      <c r="AC198" s="35">
        <v>12.5</v>
      </c>
      <c r="AD198" s="35">
        <v>5</v>
      </c>
      <c r="AE198" s="72">
        <v>2.5</v>
      </c>
      <c r="AF198" s="44">
        <f>AC198*AD198*AE198/(12^3)</f>
        <v>9.0422453703703706E-2</v>
      </c>
      <c r="AG198" s="569" t="s">
        <v>744</v>
      </c>
      <c r="AH198" s="570" t="s">
        <v>745</v>
      </c>
      <c r="AI198" s="569" t="s">
        <v>746</v>
      </c>
      <c r="AJ198" s="178" t="s">
        <v>747</v>
      </c>
      <c r="AK198" s="569" t="s">
        <v>748</v>
      </c>
      <c r="AL198" s="569"/>
      <c r="AM198" s="569"/>
      <c r="AN198" s="569"/>
      <c r="AO198" s="569"/>
      <c r="AP198" s="20" t="s">
        <v>1839</v>
      </c>
      <c r="AQ198" s="16" t="s">
        <v>937</v>
      </c>
    </row>
    <row r="199" spans="1:43" s="16" customFormat="1" ht="13.8" x14ac:dyDescent="0.3">
      <c r="A199" s="20" t="s">
        <v>2286</v>
      </c>
      <c r="B199" s="20"/>
      <c r="C199" s="42" t="s">
        <v>698</v>
      </c>
      <c r="D199" s="4" t="s">
        <v>649</v>
      </c>
      <c r="E199" s="11" t="s">
        <v>2399</v>
      </c>
      <c r="F199" s="20" t="s">
        <v>111</v>
      </c>
      <c r="G199" s="20" t="s">
        <v>1485</v>
      </c>
      <c r="H199" s="5" t="s">
        <v>773</v>
      </c>
      <c r="I199" s="20"/>
      <c r="J199" s="290"/>
      <c r="K199" s="39" t="s">
        <v>2384</v>
      </c>
      <c r="L199" s="38" t="s">
        <v>327</v>
      </c>
      <c r="M199" s="686">
        <v>39.99</v>
      </c>
      <c r="N199" s="37">
        <v>1</v>
      </c>
      <c r="O199" s="281">
        <v>10</v>
      </c>
      <c r="P199" s="46">
        <f>CONVERT(0.107,"kg","lbm")</f>
        <v>0.23589462053781898</v>
      </c>
      <c r="Q199" s="549">
        <f>CONVERT(296,"mm","in")</f>
        <v>11.653543307086615</v>
      </c>
      <c r="R199" s="549">
        <f>CONVERT(151,"mm","in")</f>
        <v>5.9448818897637796</v>
      </c>
      <c r="S199" s="550" t="s">
        <v>66</v>
      </c>
      <c r="T199" s="46">
        <v>0.23589462053781901</v>
      </c>
      <c r="U199" s="35">
        <v>11.5</v>
      </c>
      <c r="V199" s="35">
        <v>1.5</v>
      </c>
      <c r="W199" s="72">
        <v>1</v>
      </c>
      <c r="X199" s="94" t="s">
        <v>66</v>
      </c>
      <c r="Y199" s="93" t="s">
        <v>66</v>
      </c>
      <c r="Z199" s="93" t="s">
        <v>66</v>
      </c>
      <c r="AA199" s="291" t="s">
        <v>66</v>
      </c>
      <c r="AB199" s="46">
        <v>2.1</v>
      </c>
      <c r="AC199" s="35">
        <v>13</v>
      </c>
      <c r="AD199" s="35">
        <v>4.5</v>
      </c>
      <c r="AE199" s="72">
        <v>0.15</v>
      </c>
      <c r="AF199" s="44">
        <f>AC198*AD198*AE198/(12^3)</f>
        <v>9.0422453703703706E-2</v>
      </c>
      <c r="AG199" s="569" t="s">
        <v>744</v>
      </c>
      <c r="AH199" s="570" t="s">
        <v>745</v>
      </c>
      <c r="AI199" s="569" t="s">
        <v>746</v>
      </c>
      <c r="AJ199" s="178" t="s">
        <v>747</v>
      </c>
      <c r="AK199" s="569" t="s">
        <v>748</v>
      </c>
      <c r="AL199" s="569"/>
      <c r="AM199" s="569"/>
      <c r="AN199" s="569"/>
      <c r="AO199" s="569"/>
      <c r="AP199" s="20" t="s">
        <v>1839</v>
      </c>
      <c r="AQ199" s="16" t="s">
        <v>937</v>
      </c>
    </row>
    <row r="200" spans="1:43" s="16" customFormat="1" ht="13.8" x14ac:dyDescent="0.3">
      <c r="A200" s="20" t="s">
        <v>2286</v>
      </c>
      <c r="B200" s="20"/>
      <c r="C200" s="42" t="s">
        <v>2282</v>
      </c>
      <c r="D200" s="4" t="s">
        <v>649</v>
      </c>
      <c r="E200" s="561" t="s">
        <v>2283</v>
      </c>
      <c r="F200" s="20" t="s">
        <v>111</v>
      </c>
      <c r="G200" s="20" t="s">
        <v>1485</v>
      </c>
      <c r="H200" s="564">
        <v>7391846007395</v>
      </c>
      <c r="I200" s="20"/>
      <c r="J200" s="290"/>
      <c r="K200" s="39" t="s">
        <v>2384</v>
      </c>
      <c r="L200" s="38" t="s">
        <v>327</v>
      </c>
      <c r="M200" s="686">
        <v>24.99</v>
      </c>
      <c r="N200" s="37">
        <v>1</v>
      </c>
      <c r="O200" s="281">
        <v>10</v>
      </c>
      <c r="P200" s="46">
        <f>CONVERT(0.112,"kg","lbm")</f>
        <v>0.2469177336470629</v>
      </c>
      <c r="Q200" s="549">
        <f>CONVERT(275,"mm","in")</f>
        <v>10.826771653543307</v>
      </c>
      <c r="R200" s="549">
        <f>CONVERT(130,"mm","in")</f>
        <v>5.1181102362204731</v>
      </c>
      <c r="S200" s="550" t="s">
        <v>66</v>
      </c>
      <c r="T200" s="46"/>
      <c r="U200" s="135"/>
      <c r="V200" s="135"/>
      <c r="W200" s="136"/>
      <c r="X200" s="94" t="s">
        <v>66</v>
      </c>
      <c r="Y200" s="93" t="s">
        <v>66</v>
      </c>
      <c r="Z200" s="93" t="s">
        <v>66</v>
      </c>
      <c r="AA200" s="291" t="s">
        <v>66</v>
      </c>
      <c r="AB200" s="134"/>
      <c r="AC200" s="135"/>
      <c r="AD200" s="135"/>
      <c r="AE200" s="136"/>
      <c r="AF200" s="44">
        <f t="shared" ref="AF200" si="19">AC200*AD200*AE200/(12^3)</f>
        <v>0</v>
      </c>
      <c r="AG200" s="569"/>
      <c r="AH200" s="569"/>
      <c r="AI200" s="178"/>
      <c r="AJ200" s="290"/>
      <c r="AK200" s="569"/>
      <c r="AL200" s="569"/>
      <c r="AM200" s="569"/>
      <c r="AN200" s="569"/>
      <c r="AO200" s="569"/>
      <c r="AP200" s="20" t="s">
        <v>1839</v>
      </c>
      <c r="AQ200" s="16" t="s">
        <v>937</v>
      </c>
    </row>
    <row r="201" spans="1:43" s="20" customFormat="1" ht="13.8" x14ac:dyDescent="0.3">
      <c r="A201" s="20" t="s">
        <v>2286</v>
      </c>
      <c r="C201" s="42" t="s">
        <v>699</v>
      </c>
      <c r="D201" s="4" t="s">
        <v>649</v>
      </c>
      <c r="E201" s="561" t="s">
        <v>1492</v>
      </c>
      <c r="F201" s="20" t="s">
        <v>111</v>
      </c>
      <c r="G201" s="20" t="s">
        <v>1485</v>
      </c>
      <c r="H201" s="5" t="s">
        <v>774</v>
      </c>
      <c r="J201" s="290"/>
      <c r="K201" s="39" t="s">
        <v>2384</v>
      </c>
      <c r="L201" s="38" t="s">
        <v>327</v>
      </c>
      <c r="M201" s="686">
        <v>39.99</v>
      </c>
      <c r="N201" s="37">
        <v>1</v>
      </c>
      <c r="O201" s="281">
        <v>10</v>
      </c>
      <c r="P201" s="46">
        <f>CONVERT(0.092,"kg","lbm")</f>
        <v>0.20282528121008736</v>
      </c>
      <c r="Q201" s="549">
        <f>CONVERT(298,"mm","in")</f>
        <v>11.73228346456693</v>
      </c>
      <c r="R201" s="549">
        <f>CONVERT(153,"mm","in")</f>
        <v>6.0236220472440944</v>
      </c>
      <c r="S201" s="550" t="s">
        <v>66</v>
      </c>
      <c r="T201" s="46">
        <v>0.20282528121008736</v>
      </c>
      <c r="U201" s="35">
        <v>11.5</v>
      </c>
      <c r="V201" s="35">
        <v>1.5</v>
      </c>
      <c r="W201" s="72">
        <v>1</v>
      </c>
      <c r="X201" s="94" t="s">
        <v>66</v>
      </c>
      <c r="Y201" s="93" t="s">
        <v>66</v>
      </c>
      <c r="Z201" s="93" t="s">
        <v>66</v>
      </c>
      <c r="AA201" s="291" t="s">
        <v>66</v>
      </c>
      <c r="AB201" s="46">
        <v>2.65</v>
      </c>
      <c r="AC201" s="35">
        <v>12.5</v>
      </c>
      <c r="AD201" s="35">
        <v>4.75</v>
      </c>
      <c r="AE201" s="72">
        <v>2.5</v>
      </c>
      <c r="AF201" s="44">
        <f>AC201*AD201*AE201/(12^3)</f>
        <v>8.5901331018518517E-2</v>
      </c>
      <c r="AG201" s="569" t="s">
        <v>744</v>
      </c>
      <c r="AH201" s="570" t="s">
        <v>745</v>
      </c>
      <c r="AI201" s="569" t="s">
        <v>746</v>
      </c>
      <c r="AJ201" s="178" t="s">
        <v>747</v>
      </c>
      <c r="AK201" s="569" t="s">
        <v>748</v>
      </c>
      <c r="AL201" s="569"/>
      <c r="AM201" s="569"/>
      <c r="AN201" s="569"/>
      <c r="AO201" s="569"/>
      <c r="AP201" s="20" t="s">
        <v>1839</v>
      </c>
      <c r="AQ201" s="16" t="s">
        <v>937</v>
      </c>
    </row>
    <row r="202" spans="1:43" s="16" customFormat="1" ht="13.8" x14ac:dyDescent="0.3">
      <c r="A202" s="20" t="s">
        <v>2286</v>
      </c>
      <c r="B202" s="20"/>
      <c r="C202" s="42" t="s">
        <v>700</v>
      </c>
      <c r="D202" s="4" t="s">
        <v>649</v>
      </c>
      <c r="E202" s="561" t="s">
        <v>2400</v>
      </c>
      <c r="F202" s="20" t="s">
        <v>111</v>
      </c>
      <c r="G202" s="20" t="s">
        <v>1485</v>
      </c>
      <c r="H202" s="5" t="s">
        <v>775</v>
      </c>
      <c r="I202" s="20"/>
      <c r="J202" s="290"/>
      <c r="K202" s="39" t="s">
        <v>2384</v>
      </c>
      <c r="L202" s="38" t="s">
        <v>327</v>
      </c>
      <c r="M202" s="686">
        <v>44.99</v>
      </c>
      <c r="N202" s="37">
        <v>1</v>
      </c>
      <c r="O202" s="281">
        <v>10</v>
      </c>
      <c r="P202" s="46">
        <f>CONVERT(0.122,"kg","lbm")</f>
        <v>0.26896395986555066</v>
      </c>
      <c r="Q202" s="549">
        <f>CONVERT(324,"mm","in")</f>
        <v>12.755905511811022</v>
      </c>
      <c r="R202" s="549">
        <f>CONVERT(179,"mm","in")</f>
        <v>7.0472440944881889</v>
      </c>
      <c r="S202" s="550" t="s">
        <v>66</v>
      </c>
      <c r="T202" s="46">
        <v>0.26896395986555066</v>
      </c>
      <c r="U202" s="35">
        <v>12.5</v>
      </c>
      <c r="V202" s="35">
        <v>1.75</v>
      </c>
      <c r="W202" s="72">
        <v>1</v>
      </c>
      <c r="X202" s="94" t="s">
        <v>66</v>
      </c>
      <c r="Y202" s="93" t="s">
        <v>66</v>
      </c>
      <c r="Z202" s="93" t="s">
        <v>66</v>
      </c>
      <c r="AA202" s="291" t="s">
        <v>66</v>
      </c>
      <c r="AB202" s="46">
        <v>2.2000000000000002</v>
      </c>
      <c r="AC202" s="35">
        <v>14</v>
      </c>
      <c r="AD202" s="35">
        <v>5</v>
      </c>
      <c r="AE202" s="72">
        <v>2.5</v>
      </c>
      <c r="AF202" s="44">
        <f>AC202*AD202*AE202/(12^3)</f>
        <v>0.10127314814814815</v>
      </c>
      <c r="AG202" s="569" t="s">
        <v>744</v>
      </c>
      <c r="AH202" s="570" t="s">
        <v>745</v>
      </c>
      <c r="AI202" s="569" t="s">
        <v>746</v>
      </c>
      <c r="AJ202" s="178" t="s">
        <v>747</v>
      </c>
      <c r="AK202" s="569" t="s">
        <v>748</v>
      </c>
      <c r="AL202" s="569"/>
      <c r="AM202" s="569"/>
      <c r="AN202" s="569"/>
      <c r="AO202" s="569"/>
      <c r="AP202" s="20" t="s">
        <v>1839</v>
      </c>
      <c r="AQ202" s="16" t="s">
        <v>937</v>
      </c>
    </row>
    <row r="203" spans="1:43" s="16" customFormat="1" x14ac:dyDescent="0.25">
      <c r="A203" s="524" t="s">
        <v>2284</v>
      </c>
      <c r="B203" s="533"/>
      <c r="C203" s="524"/>
      <c r="D203" s="525"/>
      <c r="E203" s="24"/>
      <c r="F203" s="21"/>
      <c r="H203" s="20"/>
      <c r="I203" s="30"/>
      <c r="J203" s="31"/>
      <c r="K203" s="31"/>
      <c r="L203" s="31"/>
      <c r="M203" s="691"/>
      <c r="N203" s="19"/>
      <c r="O203" s="77"/>
      <c r="P203" s="46"/>
      <c r="Q203" s="35"/>
      <c r="R203" s="35"/>
      <c r="S203" s="72"/>
      <c r="T203" s="44"/>
      <c r="U203" s="17"/>
      <c r="V203" s="17"/>
      <c r="W203" s="45"/>
      <c r="X203" s="44"/>
      <c r="Y203" s="17"/>
      <c r="Z203" s="17"/>
      <c r="AA203" s="45"/>
      <c r="AB203" s="44"/>
      <c r="AC203" s="17"/>
      <c r="AD203" s="17"/>
      <c r="AE203" s="45"/>
      <c r="AF203" s="46"/>
      <c r="AG203" s="22"/>
      <c r="AH203" s="22"/>
      <c r="AI203" s="22"/>
      <c r="AJ203" s="22"/>
      <c r="AK203" s="22"/>
      <c r="AL203" s="22"/>
      <c r="AM203" s="22"/>
      <c r="AN203" s="22"/>
      <c r="AO203" s="22"/>
      <c r="AQ203" s="23"/>
    </row>
    <row r="204" spans="1:43" s="16" customFormat="1" ht="13.8" x14ac:dyDescent="0.3">
      <c r="A204" s="20" t="s">
        <v>2286</v>
      </c>
      <c r="B204" s="20"/>
      <c r="C204" s="42" t="s">
        <v>685</v>
      </c>
      <c r="D204" s="4" t="s">
        <v>649</v>
      </c>
      <c r="E204" s="561" t="s">
        <v>2401</v>
      </c>
      <c r="F204" s="20" t="s">
        <v>111</v>
      </c>
      <c r="G204" s="20" t="s">
        <v>1485</v>
      </c>
      <c r="H204" s="5" t="s">
        <v>763</v>
      </c>
      <c r="I204" s="20"/>
      <c r="J204" s="290"/>
      <c r="K204" s="39" t="s">
        <v>2384</v>
      </c>
      <c r="L204" s="38" t="s">
        <v>327</v>
      </c>
      <c r="M204" s="686">
        <v>34.99</v>
      </c>
      <c r="N204" s="37">
        <v>1</v>
      </c>
      <c r="O204" s="281">
        <v>10</v>
      </c>
      <c r="P204" s="46">
        <f>CONVERT(0.11,"kg","lbm")</f>
        <v>0.24250848840336534</v>
      </c>
      <c r="Q204" s="549">
        <f>CONVERT(296,"mm","in")</f>
        <v>11.653543307086615</v>
      </c>
      <c r="R204" s="549">
        <f>CONVERT(151,"mm","in")</f>
        <v>5.9448818897637796</v>
      </c>
      <c r="S204" s="550" t="s">
        <v>66</v>
      </c>
      <c r="T204" s="46">
        <v>0.24250848840336534</v>
      </c>
      <c r="U204" s="35">
        <v>14</v>
      </c>
      <c r="V204" s="35">
        <v>1.75</v>
      </c>
      <c r="W204" s="72">
        <v>1</v>
      </c>
      <c r="X204" s="94" t="s">
        <v>66</v>
      </c>
      <c r="Y204" s="93" t="s">
        <v>66</v>
      </c>
      <c r="Z204" s="93" t="s">
        <v>66</v>
      </c>
      <c r="AA204" s="291" t="s">
        <v>66</v>
      </c>
      <c r="AB204" s="46">
        <v>4.25</v>
      </c>
      <c r="AC204" s="35">
        <v>12</v>
      </c>
      <c r="AD204" s="35">
        <v>5</v>
      </c>
      <c r="AE204" s="72">
        <v>2.5</v>
      </c>
      <c r="AF204" s="44">
        <f>AC204*AD204*AE204/(12^3)</f>
        <v>8.6805555555555552E-2</v>
      </c>
      <c r="AG204" s="569" t="s">
        <v>744</v>
      </c>
      <c r="AH204" s="570" t="s">
        <v>745</v>
      </c>
      <c r="AI204" s="569" t="s">
        <v>746</v>
      </c>
      <c r="AJ204" s="178" t="s">
        <v>747</v>
      </c>
      <c r="AK204" s="569"/>
      <c r="AL204" s="569"/>
      <c r="AM204" s="569"/>
      <c r="AN204" s="569"/>
      <c r="AO204" s="569" t="s">
        <v>746</v>
      </c>
      <c r="AP204" s="20" t="s">
        <v>1839</v>
      </c>
      <c r="AQ204" s="16" t="s">
        <v>937</v>
      </c>
    </row>
    <row r="205" spans="1:43" s="16" customFormat="1" ht="13.8" x14ac:dyDescent="0.3">
      <c r="A205" s="20" t="s">
        <v>2286</v>
      </c>
      <c r="B205" s="20"/>
      <c r="C205" s="42" t="s">
        <v>1051</v>
      </c>
      <c r="D205" s="4" t="s">
        <v>649</v>
      </c>
      <c r="E205" s="132" t="s">
        <v>1608</v>
      </c>
      <c r="F205" s="20" t="s">
        <v>111</v>
      </c>
      <c r="G205" s="20" t="s">
        <v>1485</v>
      </c>
      <c r="H205" s="565">
        <v>7391846007432</v>
      </c>
      <c r="I205" s="20"/>
      <c r="J205" s="290"/>
      <c r="K205" s="39" t="s">
        <v>2384</v>
      </c>
      <c r="L205" s="38" t="s">
        <v>327</v>
      </c>
      <c r="M205" s="772">
        <v>27.990000000000002</v>
      </c>
      <c r="N205" s="37">
        <v>1</v>
      </c>
      <c r="O205" s="281">
        <v>10</v>
      </c>
      <c r="P205" s="46">
        <f>CONVERT(0.103,"kg","lbm")</f>
        <v>0.2270761300504239</v>
      </c>
      <c r="Q205" s="549">
        <f>CONVERT(290,"mm","in")</f>
        <v>11.417322834645669</v>
      </c>
      <c r="R205" s="549">
        <f>CONVERT(151,"mm","in")</f>
        <v>5.9448818897637796</v>
      </c>
      <c r="S205" s="550" t="s">
        <v>66</v>
      </c>
      <c r="T205" s="46">
        <v>0.2270761300504239</v>
      </c>
      <c r="U205" s="135"/>
      <c r="V205" s="135"/>
      <c r="W205" s="136"/>
      <c r="X205" s="94" t="s">
        <v>66</v>
      </c>
      <c r="Y205" s="93" t="s">
        <v>66</v>
      </c>
      <c r="Z205" s="93" t="s">
        <v>66</v>
      </c>
      <c r="AA205" s="291" t="s">
        <v>66</v>
      </c>
      <c r="AB205" s="134"/>
      <c r="AC205" s="135"/>
      <c r="AD205" s="135"/>
      <c r="AE205" s="136"/>
      <c r="AF205" s="44"/>
      <c r="AG205" s="569"/>
      <c r="AH205" s="570"/>
      <c r="AI205" s="569"/>
      <c r="AJ205" s="178"/>
      <c r="AK205" s="569"/>
      <c r="AL205" s="569"/>
      <c r="AM205" s="569"/>
      <c r="AN205" s="569"/>
      <c r="AO205" s="569"/>
      <c r="AP205" s="20" t="s">
        <v>1839</v>
      </c>
      <c r="AQ205" s="16" t="s">
        <v>937</v>
      </c>
    </row>
    <row r="206" spans="1:43" s="16" customFormat="1" ht="13.8" x14ac:dyDescent="0.3">
      <c r="A206" s="20" t="s">
        <v>2286</v>
      </c>
      <c r="B206" s="20"/>
      <c r="C206" s="132" t="s">
        <v>1055</v>
      </c>
      <c r="D206" s="4" t="s">
        <v>649</v>
      </c>
      <c r="E206" s="132" t="s">
        <v>1609</v>
      </c>
      <c r="F206" s="20" t="s">
        <v>111</v>
      </c>
      <c r="G206" s="20" t="s">
        <v>1485</v>
      </c>
      <c r="H206" s="9">
        <v>7391846007456</v>
      </c>
      <c r="I206" s="20"/>
      <c r="J206" s="290"/>
      <c r="K206" s="39" t="s">
        <v>2384</v>
      </c>
      <c r="L206" s="38" t="s">
        <v>327</v>
      </c>
      <c r="M206" s="692">
        <v>29.99</v>
      </c>
      <c r="N206" s="37">
        <v>1</v>
      </c>
      <c r="O206" s="281">
        <v>10</v>
      </c>
      <c r="P206" s="46">
        <f>CONVERT(0.0915,"kg","lbm")</f>
        <v>0.20172296989916297</v>
      </c>
      <c r="Q206" s="549">
        <f>CONVERT(290,"mm","in")</f>
        <v>11.417322834645669</v>
      </c>
      <c r="R206" s="549">
        <f>CONVERT(160,"mm","in")</f>
        <v>6.2992125984251972</v>
      </c>
      <c r="S206" s="550" t="s">
        <v>66</v>
      </c>
      <c r="T206" s="46">
        <v>0.2006206585882386</v>
      </c>
      <c r="U206" s="135"/>
      <c r="V206" s="135"/>
      <c r="W206" s="136"/>
      <c r="X206" s="94" t="s">
        <v>66</v>
      </c>
      <c r="Y206" s="93" t="s">
        <v>66</v>
      </c>
      <c r="Z206" s="93" t="s">
        <v>66</v>
      </c>
      <c r="AA206" s="291" t="s">
        <v>66</v>
      </c>
      <c r="AB206" s="134"/>
      <c r="AC206" s="135"/>
      <c r="AD206" s="135"/>
      <c r="AE206" s="136"/>
      <c r="AF206" s="44"/>
      <c r="AG206" s="569"/>
      <c r="AH206" s="570"/>
      <c r="AI206" s="569"/>
      <c r="AJ206" s="178"/>
      <c r="AK206" s="569"/>
      <c r="AL206" s="569"/>
      <c r="AM206" s="569"/>
      <c r="AN206" s="569"/>
      <c r="AO206" s="569"/>
      <c r="AP206" s="20" t="s">
        <v>1839</v>
      </c>
      <c r="AQ206" s="16" t="s">
        <v>937</v>
      </c>
    </row>
    <row r="207" spans="1:43" s="16" customFormat="1" ht="13.8" x14ac:dyDescent="0.3">
      <c r="A207" s="20" t="s">
        <v>2286</v>
      </c>
      <c r="B207" s="20"/>
      <c r="C207" s="42" t="s">
        <v>694</v>
      </c>
      <c r="D207" s="4" t="s">
        <v>649</v>
      </c>
      <c r="E207" s="561" t="s">
        <v>1612</v>
      </c>
      <c r="F207" s="20" t="s">
        <v>111</v>
      </c>
      <c r="G207" s="20" t="s">
        <v>1485</v>
      </c>
      <c r="H207" s="5" t="s">
        <v>769</v>
      </c>
      <c r="I207" s="20"/>
      <c r="J207" s="290"/>
      <c r="K207" s="39" t="s">
        <v>2384</v>
      </c>
      <c r="L207" s="38" t="s">
        <v>327</v>
      </c>
      <c r="M207" s="686">
        <v>34.99</v>
      </c>
      <c r="N207" s="37">
        <v>1</v>
      </c>
      <c r="O207" s="281">
        <v>10</v>
      </c>
      <c r="P207" s="46">
        <f>CONVERT(0.106,"kg","lbm")</f>
        <v>0.23368999791597023</v>
      </c>
      <c r="Q207" s="549">
        <f>CONVERT(316,"mm","in")</f>
        <v>12.440944881889763</v>
      </c>
      <c r="R207" s="549">
        <f>CONVERT(180,"mm","in")</f>
        <v>7.0866141732283472</v>
      </c>
      <c r="S207" s="550" t="s">
        <v>66</v>
      </c>
      <c r="T207" s="46">
        <v>0.23368999791597023</v>
      </c>
      <c r="U207" s="35">
        <v>12.5</v>
      </c>
      <c r="V207" s="35">
        <v>1.75</v>
      </c>
      <c r="W207" s="72">
        <v>1</v>
      </c>
      <c r="X207" s="94" t="s">
        <v>66</v>
      </c>
      <c r="Y207" s="93" t="s">
        <v>66</v>
      </c>
      <c r="Z207" s="93" t="s">
        <v>66</v>
      </c>
      <c r="AA207" s="291" t="s">
        <v>66</v>
      </c>
      <c r="AB207" s="46">
        <v>2.5</v>
      </c>
      <c r="AC207" s="35">
        <v>15</v>
      </c>
      <c r="AD207" s="35">
        <v>5</v>
      </c>
      <c r="AE207" s="72">
        <v>2.5</v>
      </c>
      <c r="AF207" s="44">
        <f>AC207*AD207*AE207/(12^3)</f>
        <v>0.10850694444444445</v>
      </c>
      <c r="AG207" s="569" t="s">
        <v>744</v>
      </c>
      <c r="AH207" s="570" t="s">
        <v>745</v>
      </c>
      <c r="AI207" s="569" t="s">
        <v>746</v>
      </c>
      <c r="AJ207" s="178" t="s">
        <v>747</v>
      </c>
      <c r="AK207" s="569"/>
      <c r="AL207" s="569"/>
      <c r="AM207" s="569"/>
      <c r="AN207" s="569"/>
      <c r="AO207" s="569" t="s">
        <v>746</v>
      </c>
      <c r="AP207" s="20" t="s">
        <v>1839</v>
      </c>
      <c r="AQ207" s="16" t="s">
        <v>937</v>
      </c>
    </row>
    <row r="208" spans="1:43" s="20" customFormat="1" ht="13.8" x14ac:dyDescent="0.3">
      <c r="A208" s="20" t="s">
        <v>2286</v>
      </c>
      <c r="C208" s="132" t="s">
        <v>1056</v>
      </c>
      <c r="D208" s="4" t="s">
        <v>649</v>
      </c>
      <c r="E208" s="132" t="s">
        <v>1605</v>
      </c>
      <c r="F208" s="20" t="s">
        <v>111</v>
      </c>
      <c r="G208" s="20" t="s">
        <v>1485</v>
      </c>
      <c r="H208" s="565">
        <v>7391846007371</v>
      </c>
      <c r="J208" s="290"/>
      <c r="K208" s="39" t="s">
        <v>2384</v>
      </c>
      <c r="L208" s="38" t="s">
        <v>327</v>
      </c>
      <c r="M208" s="687">
        <v>34.99</v>
      </c>
      <c r="N208" s="37">
        <v>1</v>
      </c>
      <c r="O208" s="281">
        <v>10</v>
      </c>
      <c r="P208" s="46">
        <f>CONVERT(0.101,"kg","lbm")</f>
        <v>0.22266688480672636</v>
      </c>
      <c r="Q208" s="35" t="s">
        <v>2389</v>
      </c>
      <c r="R208" s="549">
        <f>CONVERT(180,"mm","in")</f>
        <v>7.0866141732283472</v>
      </c>
      <c r="S208" s="550" t="s">
        <v>66</v>
      </c>
      <c r="T208" s="46">
        <v>0.23368999791597023</v>
      </c>
      <c r="U208" s="135"/>
      <c r="V208" s="135"/>
      <c r="W208" s="136"/>
      <c r="X208" s="94" t="s">
        <v>66</v>
      </c>
      <c r="Y208" s="93" t="s">
        <v>66</v>
      </c>
      <c r="Z208" s="93" t="s">
        <v>66</v>
      </c>
      <c r="AA208" s="291" t="s">
        <v>66</v>
      </c>
      <c r="AB208" s="134"/>
      <c r="AC208" s="135"/>
      <c r="AD208" s="135"/>
      <c r="AE208" s="136"/>
      <c r="AF208" s="46"/>
      <c r="AG208" s="569"/>
      <c r="AH208" s="570"/>
      <c r="AI208" s="569"/>
      <c r="AJ208" s="178"/>
      <c r="AK208" s="569"/>
      <c r="AL208" s="569"/>
      <c r="AM208" s="569"/>
      <c r="AN208" s="569"/>
      <c r="AO208" s="569"/>
      <c r="AP208" s="20" t="s">
        <v>1839</v>
      </c>
      <c r="AQ208" s="16" t="s">
        <v>937</v>
      </c>
    </row>
    <row r="209" spans="1:43" s="16" customFormat="1" ht="13.8" x14ac:dyDescent="0.3">
      <c r="A209" s="20" t="s">
        <v>2286</v>
      </c>
      <c r="B209" s="20"/>
      <c r="C209" s="42" t="s">
        <v>692</v>
      </c>
      <c r="D209" s="4" t="s">
        <v>649</v>
      </c>
      <c r="E209" s="561" t="s">
        <v>1610</v>
      </c>
      <c r="F209" s="20" t="s">
        <v>111</v>
      </c>
      <c r="G209" s="20" t="s">
        <v>1485</v>
      </c>
      <c r="H209" s="99" t="s">
        <v>767</v>
      </c>
      <c r="I209" s="20"/>
      <c r="J209" s="290"/>
      <c r="K209" s="39" t="s">
        <v>2384</v>
      </c>
      <c r="L209" s="38" t="s">
        <v>327</v>
      </c>
      <c r="M209" s="686">
        <v>39.99</v>
      </c>
      <c r="N209" s="37">
        <v>1</v>
      </c>
      <c r="O209" s="281">
        <v>10</v>
      </c>
      <c r="P209" s="46">
        <f>CONVERT(0.109,"kg","lbm")</f>
        <v>0.24030386578151655</v>
      </c>
      <c r="Q209" s="35" t="s">
        <v>2394</v>
      </c>
      <c r="R209" s="549">
        <f>CONVERT(197,"mm","in")</f>
        <v>7.7559055118110241</v>
      </c>
      <c r="S209" s="550" t="s">
        <v>66</v>
      </c>
      <c r="T209" s="46">
        <v>0.24030386578151655</v>
      </c>
      <c r="U209" s="35">
        <v>13</v>
      </c>
      <c r="V209" s="35">
        <v>1.75</v>
      </c>
      <c r="W209" s="72">
        <v>1</v>
      </c>
      <c r="X209" s="94" t="s">
        <v>66</v>
      </c>
      <c r="Y209" s="93" t="s">
        <v>66</v>
      </c>
      <c r="Z209" s="93" t="s">
        <v>66</v>
      </c>
      <c r="AA209" s="291" t="s">
        <v>66</v>
      </c>
      <c r="AB209" s="46">
        <v>3</v>
      </c>
      <c r="AC209" s="35">
        <v>14</v>
      </c>
      <c r="AD209" s="35">
        <v>5</v>
      </c>
      <c r="AE209" s="72">
        <v>2.5</v>
      </c>
      <c r="AF209" s="44">
        <f>AC209*AD209*AE209/(12^3)</f>
        <v>0.10127314814814815</v>
      </c>
      <c r="AG209" s="569" t="s">
        <v>744</v>
      </c>
      <c r="AH209" s="570" t="s">
        <v>745</v>
      </c>
      <c r="AI209" s="569" t="s">
        <v>746</v>
      </c>
      <c r="AJ209" s="178" t="s">
        <v>747</v>
      </c>
      <c r="AK209" s="569"/>
      <c r="AL209" s="569"/>
      <c r="AM209" s="569"/>
      <c r="AN209" s="569"/>
      <c r="AO209" s="569" t="s">
        <v>749</v>
      </c>
      <c r="AP209" s="20" t="s">
        <v>1839</v>
      </c>
      <c r="AQ209" s="16" t="s">
        <v>937</v>
      </c>
    </row>
    <row r="210" spans="1:43" s="20" customFormat="1" ht="13.8" x14ac:dyDescent="0.3">
      <c r="A210" s="20" t="s">
        <v>2286</v>
      </c>
      <c r="C210" s="132" t="s">
        <v>1059</v>
      </c>
      <c r="D210" s="4" t="s">
        <v>649</v>
      </c>
      <c r="E210" s="132" t="s">
        <v>1606</v>
      </c>
      <c r="F210" s="20" t="s">
        <v>111</v>
      </c>
      <c r="G210" s="20" t="s">
        <v>1485</v>
      </c>
      <c r="H210" s="9">
        <v>7391846007388</v>
      </c>
      <c r="J210" s="290"/>
      <c r="K210" s="39" t="s">
        <v>2384</v>
      </c>
      <c r="L210" s="38" t="s">
        <v>327</v>
      </c>
      <c r="M210" s="687">
        <v>39.99</v>
      </c>
      <c r="N210" s="37">
        <v>1</v>
      </c>
      <c r="O210" s="281">
        <v>10</v>
      </c>
      <c r="P210" s="46">
        <f>CONVERT(0.113,"kg","lbm")</f>
        <v>0.24912235626891169</v>
      </c>
      <c r="Q210" s="549">
        <f>CONVERT(335,"mm","in")</f>
        <v>13.188976377952757</v>
      </c>
      <c r="R210" s="549">
        <f>CONVERT(197,"mm","in")</f>
        <v>7.7559055118110241</v>
      </c>
      <c r="S210" s="550" t="s">
        <v>66</v>
      </c>
      <c r="T210" s="46">
        <v>0.24912235626891166</v>
      </c>
      <c r="U210" s="135"/>
      <c r="V210" s="135"/>
      <c r="W210" s="136"/>
      <c r="X210" s="94" t="s">
        <v>66</v>
      </c>
      <c r="Y210" s="93" t="s">
        <v>66</v>
      </c>
      <c r="Z210" s="93" t="s">
        <v>66</v>
      </c>
      <c r="AA210" s="291" t="s">
        <v>66</v>
      </c>
      <c r="AB210" s="134"/>
      <c r="AC210" s="135"/>
      <c r="AD210" s="135"/>
      <c r="AE210" s="136"/>
      <c r="AF210" s="46"/>
      <c r="AG210" s="569"/>
      <c r="AH210" s="570"/>
      <c r="AI210" s="569"/>
      <c r="AJ210" s="178"/>
      <c r="AK210" s="569"/>
      <c r="AL210" s="569"/>
      <c r="AM210" s="569"/>
      <c r="AN210" s="569"/>
      <c r="AO210" s="569"/>
      <c r="AP210" s="20" t="s">
        <v>1839</v>
      </c>
      <c r="AQ210" s="16" t="s">
        <v>937</v>
      </c>
    </row>
    <row r="211" spans="1:43" s="20" customFormat="1" ht="13.8" x14ac:dyDescent="0.3">
      <c r="A211" s="20" t="s">
        <v>2286</v>
      </c>
      <c r="C211" s="132" t="s">
        <v>1060</v>
      </c>
      <c r="D211" s="4" t="s">
        <v>649</v>
      </c>
      <c r="E211" s="132" t="s">
        <v>1607</v>
      </c>
      <c r="F211" s="20" t="s">
        <v>111</v>
      </c>
      <c r="G211" s="20" t="s">
        <v>1485</v>
      </c>
      <c r="H211" s="9">
        <v>7391846007425</v>
      </c>
      <c r="J211" s="290"/>
      <c r="K211" s="39" t="s">
        <v>2384</v>
      </c>
      <c r="L211" s="38" t="s">
        <v>327</v>
      </c>
      <c r="M211" s="687">
        <v>39.99</v>
      </c>
      <c r="N211" s="37">
        <v>1</v>
      </c>
      <c r="O211" s="281">
        <v>10</v>
      </c>
      <c r="P211" s="46">
        <f>CONVERT(0.112,"kg","lbm")</f>
        <v>0.2469177336470629</v>
      </c>
      <c r="Q211" s="549">
        <f>CONVERT(346,"mm","in")</f>
        <v>13.622047244094489</v>
      </c>
      <c r="R211" s="549">
        <f>CONVERT(197,"mm","in")</f>
        <v>7.7559055118110241</v>
      </c>
      <c r="S211" s="550" t="s">
        <v>66</v>
      </c>
      <c r="T211" s="46">
        <v>0.27557782773109696</v>
      </c>
      <c r="U211" s="135"/>
      <c r="V211" s="135"/>
      <c r="W211" s="136"/>
      <c r="X211" s="94" t="s">
        <v>66</v>
      </c>
      <c r="Y211" s="93" t="s">
        <v>66</v>
      </c>
      <c r="Z211" s="93" t="s">
        <v>66</v>
      </c>
      <c r="AA211" s="291" t="s">
        <v>66</v>
      </c>
      <c r="AB211" s="134"/>
      <c r="AC211" s="135"/>
      <c r="AD211" s="135"/>
      <c r="AE211" s="136"/>
      <c r="AF211" s="46"/>
      <c r="AG211" s="569"/>
      <c r="AH211" s="570"/>
      <c r="AI211" s="569"/>
      <c r="AJ211" s="178"/>
      <c r="AK211" s="569"/>
      <c r="AL211" s="569"/>
      <c r="AM211" s="569"/>
      <c r="AN211" s="569"/>
      <c r="AO211" s="569"/>
      <c r="AP211" s="20" t="s">
        <v>1839</v>
      </c>
      <c r="AQ211" s="16" t="s">
        <v>937</v>
      </c>
    </row>
    <row r="212" spans="1:43" s="16" customFormat="1" ht="13.8" x14ac:dyDescent="0.3">
      <c r="A212" s="20" t="s">
        <v>2286</v>
      </c>
      <c r="B212" s="20"/>
      <c r="C212" s="42" t="s">
        <v>695</v>
      </c>
      <c r="D212" s="4" t="s">
        <v>649</v>
      </c>
      <c r="E212" s="561" t="s">
        <v>1613</v>
      </c>
      <c r="F212" s="20" t="s">
        <v>111</v>
      </c>
      <c r="G212" s="20" t="s">
        <v>1485</v>
      </c>
      <c r="H212" s="5" t="s">
        <v>771</v>
      </c>
      <c r="I212" s="20"/>
      <c r="J212" s="290"/>
      <c r="K212" s="39" t="s">
        <v>2384</v>
      </c>
      <c r="L212" s="38" t="s">
        <v>327</v>
      </c>
      <c r="M212" s="686">
        <v>44.99</v>
      </c>
      <c r="N212" s="37">
        <v>1</v>
      </c>
      <c r="O212" s="281">
        <v>10</v>
      </c>
      <c r="P212" s="46">
        <f>CONVERT(0.125,"kg","lbm")</f>
        <v>0.27557782773109696</v>
      </c>
      <c r="Q212" s="549">
        <f>CONVERT(355,"mm","in")</f>
        <v>13.976377952755906</v>
      </c>
      <c r="R212" s="549">
        <f>CONVERT(210,"mm","in")</f>
        <v>8.2677165354330704</v>
      </c>
      <c r="S212" s="550" t="s">
        <v>66</v>
      </c>
      <c r="T212" s="46">
        <v>0.27557782773109696</v>
      </c>
      <c r="U212" s="35">
        <v>13.5</v>
      </c>
      <c r="V212" s="35">
        <v>1.75</v>
      </c>
      <c r="W212" s="72">
        <v>1</v>
      </c>
      <c r="X212" s="94" t="s">
        <v>66</v>
      </c>
      <c r="Y212" s="93" t="s">
        <v>66</v>
      </c>
      <c r="Z212" s="93" t="s">
        <v>66</v>
      </c>
      <c r="AA212" s="291" t="s">
        <v>66</v>
      </c>
      <c r="AB212" s="46">
        <v>2.2000000000000002</v>
      </c>
      <c r="AC212" s="35">
        <v>15</v>
      </c>
      <c r="AD212" s="35">
        <v>5</v>
      </c>
      <c r="AE212" s="72">
        <v>2.5</v>
      </c>
      <c r="AF212" s="44">
        <f>AC212*AD212*AE212/(12^3)</f>
        <v>0.10850694444444445</v>
      </c>
      <c r="AG212" s="569" t="s">
        <v>744</v>
      </c>
      <c r="AH212" s="570" t="s">
        <v>745</v>
      </c>
      <c r="AI212" s="569" t="s">
        <v>746</v>
      </c>
      <c r="AJ212" s="178" t="s">
        <v>747</v>
      </c>
      <c r="AK212" s="569"/>
      <c r="AL212" s="569"/>
      <c r="AM212" s="569"/>
      <c r="AN212" s="569"/>
      <c r="AO212" s="569" t="s">
        <v>746</v>
      </c>
      <c r="AP212" s="20" t="s">
        <v>1839</v>
      </c>
      <c r="AQ212" s="16" t="s">
        <v>937</v>
      </c>
    </row>
    <row r="213" spans="1:43" s="16" customFormat="1" ht="13.8" x14ac:dyDescent="0.3">
      <c r="A213" s="20" t="s">
        <v>2286</v>
      </c>
      <c r="B213" s="20"/>
      <c r="C213" s="42" t="s">
        <v>693</v>
      </c>
      <c r="D213" s="4" t="s">
        <v>649</v>
      </c>
      <c r="E213" s="561" t="s">
        <v>1611</v>
      </c>
      <c r="F213" s="20" t="s">
        <v>111</v>
      </c>
      <c r="G213" s="20" t="s">
        <v>1485</v>
      </c>
      <c r="H213" s="5" t="s">
        <v>768</v>
      </c>
      <c r="I213" s="20"/>
      <c r="J213" s="290"/>
      <c r="K213" s="39" t="s">
        <v>2384</v>
      </c>
      <c r="L213" s="38" t="s">
        <v>327</v>
      </c>
      <c r="M213" s="686">
        <v>39.99</v>
      </c>
      <c r="N213" s="37">
        <v>1</v>
      </c>
      <c r="O213" s="281">
        <v>10</v>
      </c>
      <c r="P213" s="46">
        <f>CONVERT(0.125,"kg","lbm")</f>
        <v>0.27557782773109696</v>
      </c>
      <c r="Q213" s="549">
        <f>CONVERT(350,"mm","in")</f>
        <v>13.779527559055117</v>
      </c>
      <c r="R213" s="549">
        <f>CONVERT(218,"mm","in")</f>
        <v>8.5826771653543314</v>
      </c>
      <c r="S213" s="550" t="s">
        <v>66</v>
      </c>
      <c r="T213" s="46">
        <v>0.27557782773109696</v>
      </c>
      <c r="U213" s="35">
        <v>14</v>
      </c>
      <c r="V213" s="35">
        <v>1.75</v>
      </c>
      <c r="W213" s="72">
        <v>1</v>
      </c>
      <c r="X213" s="94" t="s">
        <v>66</v>
      </c>
      <c r="Y213" s="93" t="s">
        <v>66</v>
      </c>
      <c r="Z213" s="93" t="s">
        <v>66</v>
      </c>
      <c r="AA213" s="94" t="s">
        <v>66</v>
      </c>
      <c r="AB213" s="46">
        <v>4</v>
      </c>
      <c r="AC213" s="35">
        <v>15</v>
      </c>
      <c r="AD213" s="35">
        <v>5.5</v>
      </c>
      <c r="AE213" s="72">
        <v>2</v>
      </c>
      <c r="AF213" s="44">
        <f>AC213*AD213*AE213/(12^3)</f>
        <v>9.5486111111111105E-2</v>
      </c>
      <c r="AG213" s="569" t="s">
        <v>744</v>
      </c>
      <c r="AH213" s="570" t="s">
        <v>745</v>
      </c>
      <c r="AI213" s="569" t="s">
        <v>746</v>
      </c>
      <c r="AJ213" s="178" t="s">
        <v>747</v>
      </c>
      <c r="AK213" s="569"/>
      <c r="AL213" s="569"/>
      <c r="AM213" s="569"/>
      <c r="AN213" s="569"/>
      <c r="AO213" s="569" t="s">
        <v>746</v>
      </c>
      <c r="AP213" s="20" t="s">
        <v>1839</v>
      </c>
      <c r="AQ213" s="16" t="s">
        <v>937</v>
      </c>
    </row>
    <row r="214" spans="1:43" s="16" customFormat="1" x14ac:dyDescent="0.25">
      <c r="A214" s="524" t="s">
        <v>2285</v>
      </c>
      <c r="B214" s="533"/>
      <c r="C214" s="524"/>
      <c r="D214" s="525"/>
      <c r="E214" s="24"/>
      <c r="F214" s="21"/>
      <c r="H214" s="20"/>
      <c r="I214" s="30"/>
      <c r="J214" s="31"/>
      <c r="K214" s="31"/>
      <c r="L214" s="31"/>
      <c r="M214" s="691"/>
      <c r="N214" s="19"/>
      <c r="O214" s="77"/>
      <c r="P214" s="46"/>
      <c r="Q214" s="35"/>
      <c r="R214" s="35"/>
      <c r="S214" s="72"/>
      <c r="T214" s="44"/>
      <c r="U214" s="17"/>
      <c r="V214" s="17"/>
      <c r="W214" s="45"/>
      <c r="X214" s="44"/>
      <c r="Y214" s="17"/>
      <c r="Z214" s="17"/>
      <c r="AA214" s="45"/>
      <c r="AB214" s="44"/>
      <c r="AC214" s="17"/>
      <c r="AD214" s="17"/>
      <c r="AE214" s="45"/>
      <c r="AF214" s="46"/>
      <c r="AG214" s="22"/>
      <c r="AH214" s="22"/>
      <c r="AI214" s="22"/>
      <c r="AJ214" s="22"/>
      <c r="AK214" s="22"/>
      <c r="AL214" s="22"/>
      <c r="AM214" s="22"/>
      <c r="AN214" s="22"/>
      <c r="AO214" s="22"/>
      <c r="AQ214" s="23"/>
    </row>
    <row r="215" spans="1:43" s="16" customFormat="1" ht="13.8" x14ac:dyDescent="0.3">
      <c r="A215" s="20" t="s">
        <v>2286</v>
      </c>
      <c r="B215" s="796"/>
      <c r="C215" s="16" t="s">
        <v>3219</v>
      </c>
      <c r="D215" s="4" t="s">
        <v>649</v>
      </c>
      <c r="E215" s="24" t="s">
        <v>3220</v>
      </c>
      <c r="F215" s="21" t="s">
        <v>83</v>
      </c>
      <c r="G215" s="16" t="s">
        <v>1485</v>
      </c>
      <c r="H215" s="20"/>
      <c r="I215" s="30"/>
      <c r="J215" s="31"/>
      <c r="K215" s="31"/>
      <c r="L215" s="31"/>
      <c r="M215" s="691"/>
      <c r="N215" s="19">
        <v>1</v>
      </c>
      <c r="O215" s="77">
        <v>10</v>
      </c>
      <c r="P215" s="46">
        <v>0.3</v>
      </c>
      <c r="Q215" s="35">
        <v>11.5</v>
      </c>
      <c r="R215" s="35">
        <v>6.89</v>
      </c>
      <c r="S215" s="72"/>
      <c r="T215" s="44">
        <v>0.31</v>
      </c>
      <c r="U215" s="17">
        <v>11.5</v>
      </c>
      <c r="V215" s="17"/>
      <c r="W215" s="45"/>
      <c r="X215" s="94" t="s">
        <v>66</v>
      </c>
      <c r="Y215" s="93" t="s">
        <v>66</v>
      </c>
      <c r="Z215" s="93" t="s">
        <v>66</v>
      </c>
      <c r="AA215" s="94" t="s">
        <v>66</v>
      </c>
      <c r="AB215" s="44">
        <v>3.15</v>
      </c>
      <c r="AC215" s="17">
        <v>14.75</v>
      </c>
      <c r="AD215" s="17">
        <v>4.75</v>
      </c>
      <c r="AE215" s="45">
        <v>3</v>
      </c>
      <c r="AF215" s="46"/>
      <c r="AG215" s="22"/>
      <c r="AH215" s="22"/>
      <c r="AI215" s="22"/>
      <c r="AJ215" s="22"/>
      <c r="AK215" s="22"/>
      <c r="AL215" s="22"/>
      <c r="AM215" s="22"/>
      <c r="AN215" s="22"/>
      <c r="AO215" s="22"/>
      <c r="AQ215" s="23"/>
    </row>
    <row r="216" spans="1:43" s="16" customFormat="1" ht="13.8" x14ac:dyDescent="0.3">
      <c r="A216" s="20" t="s">
        <v>2286</v>
      </c>
      <c r="B216" s="20"/>
      <c r="C216" s="42" t="s">
        <v>1052</v>
      </c>
      <c r="D216" s="4" t="s">
        <v>649</v>
      </c>
      <c r="E216" s="132" t="s">
        <v>1053</v>
      </c>
      <c r="F216" s="20" t="s">
        <v>111</v>
      </c>
      <c r="G216" s="20" t="s">
        <v>1485</v>
      </c>
      <c r="H216" s="9">
        <v>7391846007722</v>
      </c>
      <c r="I216" s="20"/>
      <c r="J216" s="290"/>
      <c r="K216" s="39" t="s">
        <v>2384</v>
      </c>
      <c r="L216" s="38" t="s">
        <v>327</v>
      </c>
      <c r="M216" s="687">
        <v>49.99</v>
      </c>
      <c r="N216" s="37">
        <v>1</v>
      </c>
      <c r="O216" s="281">
        <v>10</v>
      </c>
      <c r="P216" s="46">
        <f>CONVERT(0.155,"kg","lbm")</f>
        <v>0.3417165063865602</v>
      </c>
      <c r="Q216" s="549">
        <f>CONVERT(290,"mm","in")</f>
        <v>11.417322834645669</v>
      </c>
      <c r="R216" s="549">
        <f>CONVERT(145,"mm","in")</f>
        <v>5.7086614173228343</v>
      </c>
      <c r="S216" s="550">
        <v>2.5</v>
      </c>
      <c r="T216" s="46">
        <v>0.34171650638656026</v>
      </c>
      <c r="U216" s="135"/>
      <c r="V216" s="135"/>
      <c r="W216" s="136"/>
      <c r="X216" s="94" t="s">
        <v>66</v>
      </c>
      <c r="Y216" s="93" t="s">
        <v>66</v>
      </c>
      <c r="Z216" s="93" t="s">
        <v>66</v>
      </c>
      <c r="AA216" s="291" t="s">
        <v>66</v>
      </c>
      <c r="AB216" s="134"/>
      <c r="AC216" s="135"/>
      <c r="AD216" s="135"/>
      <c r="AE216" s="136"/>
      <c r="AF216" s="44"/>
      <c r="AG216" s="569"/>
      <c r="AH216" s="570"/>
      <c r="AI216" s="569"/>
      <c r="AJ216" s="178"/>
      <c r="AK216" s="569"/>
      <c r="AL216" s="569"/>
      <c r="AM216" s="569"/>
      <c r="AN216" s="569"/>
      <c r="AO216" s="569"/>
      <c r="AP216" s="20" t="s">
        <v>1839</v>
      </c>
      <c r="AQ216" s="16" t="s">
        <v>937</v>
      </c>
    </row>
    <row r="217" spans="1:43" s="16" customFormat="1" ht="13.8" x14ac:dyDescent="0.3">
      <c r="A217" s="20" t="s">
        <v>2286</v>
      </c>
      <c r="B217" s="20"/>
      <c r="C217" s="132" t="s">
        <v>1054</v>
      </c>
      <c r="D217" s="4" t="s">
        <v>649</v>
      </c>
      <c r="E217" s="132" t="s">
        <v>2402</v>
      </c>
      <c r="F217" s="20" t="s">
        <v>111</v>
      </c>
      <c r="G217" s="20" t="s">
        <v>1485</v>
      </c>
      <c r="H217" s="9">
        <v>7391846007777</v>
      </c>
      <c r="I217" s="20"/>
      <c r="J217" s="290"/>
      <c r="K217" s="39" t="s">
        <v>2384</v>
      </c>
      <c r="L217" s="38" t="s">
        <v>327</v>
      </c>
      <c r="M217" s="687">
        <v>44.99</v>
      </c>
      <c r="N217" s="37">
        <v>1</v>
      </c>
      <c r="O217" s="281">
        <v>10</v>
      </c>
      <c r="P217" s="46">
        <f>CONVERT(0.131,"kg","lbm")</f>
        <v>0.28880556346218961</v>
      </c>
      <c r="Q217" s="549">
        <f>CONVERT(285,"mm","in")</f>
        <v>11.220472440944883</v>
      </c>
      <c r="R217" s="549">
        <f>CONVERT(146,"mm","in")</f>
        <v>5.7480314960629926</v>
      </c>
      <c r="S217" s="550">
        <v>2.5</v>
      </c>
      <c r="T217" s="46">
        <v>0.28880556346218961</v>
      </c>
      <c r="U217" s="135"/>
      <c r="V217" s="135"/>
      <c r="W217" s="136"/>
      <c r="X217" s="94" t="s">
        <v>66</v>
      </c>
      <c r="Y217" s="93" t="s">
        <v>66</v>
      </c>
      <c r="Z217" s="93" t="s">
        <v>66</v>
      </c>
      <c r="AA217" s="291" t="s">
        <v>66</v>
      </c>
      <c r="AB217" s="134"/>
      <c r="AC217" s="135"/>
      <c r="AD217" s="135"/>
      <c r="AE217" s="136"/>
      <c r="AF217" s="44"/>
      <c r="AG217" s="569"/>
      <c r="AH217" s="570"/>
      <c r="AI217" s="569"/>
      <c r="AJ217" s="178"/>
      <c r="AK217" s="569"/>
      <c r="AL217" s="569"/>
      <c r="AM217" s="569"/>
      <c r="AN217" s="569"/>
      <c r="AO217" s="569"/>
      <c r="AP217" s="20" t="s">
        <v>1839</v>
      </c>
      <c r="AQ217" s="16" t="s">
        <v>937</v>
      </c>
    </row>
    <row r="218" spans="1:43" s="16" customFormat="1" ht="13.8" x14ac:dyDescent="0.3">
      <c r="A218" s="20" t="s">
        <v>2286</v>
      </c>
      <c r="B218" s="20"/>
      <c r="C218" s="132" t="s">
        <v>1057</v>
      </c>
      <c r="D218" s="4" t="s">
        <v>649</v>
      </c>
      <c r="E218" s="132" t="s">
        <v>2403</v>
      </c>
      <c r="F218" s="20" t="s">
        <v>111</v>
      </c>
      <c r="G218" s="20" t="s">
        <v>1485</v>
      </c>
      <c r="H218" s="554">
        <v>7391846003243</v>
      </c>
      <c r="I218" s="20"/>
      <c r="J218" s="290"/>
      <c r="K218" s="39" t="s">
        <v>2384</v>
      </c>
      <c r="L218" s="38" t="s">
        <v>327</v>
      </c>
      <c r="M218" s="687">
        <v>44.99</v>
      </c>
      <c r="N218" s="37">
        <v>1</v>
      </c>
      <c r="O218" s="281">
        <v>10</v>
      </c>
      <c r="P218" s="46">
        <f>CONVERT(0.139,"kg","lbm")</f>
        <v>0.30644254443697982</v>
      </c>
      <c r="Q218" s="35" t="s">
        <v>2385</v>
      </c>
      <c r="R218" s="549">
        <f>CONVERT(150,"mm","in")</f>
        <v>5.9055118110236222</v>
      </c>
      <c r="S218" s="550">
        <v>2.5</v>
      </c>
      <c r="T218" s="46" t="s">
        <v>1644</v>
      </c>
      <c r="U218" s="35">
        <v>11.5</v>
      </c>
      <c r="V218" s="35">
        <v>1.625</v>
      </c>
      <c r="W218" s="72">
        <v>1.25</v>
      </c>
      <c r="X218" s="94" t="s">
        <v>66</v>
      </c>
      <c r="Y218" s="93" t="s">
        <v>66</v>
      </c>
      <c r="Z218" s="93" t="s">
        <v>66</v>
      </c>
      <c r="AA218" s="291" t="s">
        <v>66</v>
      </c>
      <c r="AB218" s="46">
        <v>3.262841480336188</v>
      </c>
      <c r="AC218" s="35">
        <v>14.625</v>
      </c>
      <c r="AD218" s="35">
        <v>4.875</v>
      </c>
      <c r="AE218" s="72">
        <v>3.125</v>
      </c>
      <c r="AF218" s="44">
        <f>AC218*AD218*AE218/(12^3)</f>
        <v>0.128936767578125</v>
      </c>
      <c r="AG218" s="569"/>
      <c r="AH218" s="570"/>
      <c r="AI218" s="569"/>
      <c r="AJ218" s="178"/>
      <c r="AK218" s="569"/>
      <c r="AL218" s="569"/>
      <c r="AM218" s="569"/>
      <c r="AN218" s="569"/>
      <c r="AO218" s="569"/>
      <c r="AP218" s="20" t="s">
        <v>1839</v>
      </c>
      <c r="AQ218" s="16" t="s">
        <v>937</v>
      </c>
    </row>
    <row r="219" spans="1:43" s="16" customFormat="1" ht="13.8" x14ac:dyDescent="0.3">
      <c r="A219" s="20" t="s">
        <v>2286</v>
      </c>
      <c r="B219" s="20"/>
      <c r="C219" s="132" t="s">
        <v>1058</v>
      </c>
      <c r="D219" s="4" t="s">
        <v>649</v>
      </c>
      <c r="E219" s="132" t="s">
        <v>2404</v>
      </c>
      <c r="F219" s="20" t="s">
        <v>111</v>
      </c>
      <c r="G219" s="20" t="s">
        <v>1485</v>
      </c>
      <c r="H219" s="554">
        <v>7391846003229</v>
      </c>
      <c r="I219" s="20"/>
      <c r="J219" s="290"/>
      <c r="K219" s="39" t="s">
        <v>2384</v>
      </c>
      <c r="L219" s="38" t="s">
        <v>327</v>
      </c>
      <c r="M219" s="687">
        <v>49.99</v>
      </c>
      <c r="N219" s="37">
        <v>1</v>
      </c>
      <c r="O219" s="281">
        <v>10</v>
      </c>
      <c r="P219" s="46">
        <f>CONVERT(0.195,"kg","lbm")</f>
        <v>0.42990141126051129</v>
      </c>
      <c r="Q219" s="35" t="s">
        <v>2385</v>
      </c>
      <c r="R219" s="549">
        <f>CONVERT(200,"mm","in")</f>
        <v>7.8740157480314963</v>
      </c>
      <c r="S219" s="550">
        <v>2.5</v>
      </c>
      <c r="T219" s="46" t="s">
        <v>1639</v>
      </c>
      <c r="U219" s="35">
        <v>13.25</v>
      </c>
      <c r="V219" s="35">
        <v>1.625</v>
      </c>
      <c r="W219" s="72">
        <v>1.25</v>
      </c>
      <c r="X219" s="94" t="s">
        <v>66</v>
      </c>
      <c r="Y219" s="93" t="s">
        <v>66</v>
      </c>
      <c r="Z219" s="93" t="s">
        <v>66</v>
      </c>
      <c r="AA219" s="291" t="s">
        <v>66</v>
      </c>
      <c r="AB219" s="46">
        <v>4.4202683568067958</v>
      </c>
      <c r="AC219" s="35">
        <v>15.375</v>
      </c>
      <c r="AD219" s="35">
        <v>5.5</v>
      </c>
      <c r="AE219" s="72">
        <v>4.125</v>
      </c>
      <c r="AF219" s="44">
        <f>AC219*AD219*AE219/(12^3)</f>
        <v>0.20186360677083334</v>
      </c>
      <c r="AG219" s="569"/>
      <c r="AH219" s="570"/>
      <c r="AI219" s="569"/>
      <c r="AJ219" s="178"/>
      <c r="AK219" s="569"/>
      <c r="AL219" s="569"/>
      <c r="AM219" s="569"/>
      <c r="AN219" s="569"/>
      <c r="AO219" s="569"/>
      <c r="AP219" s="20" t="s">
        <v>1839</v>
      </c>
      <c r="AQ219" s="16" t="s">
        <v>937</v>
      </c>
    </row>
    <row r="220" spans="1:43" s="20" customFormat="1" ht="13.8" x14ac:dyDescent="0.3">
      <c r="A220" s="20" t="s">
        <v>2286</v>
      </c>
      <c r="C220" s="42" t="s">
        <v>696</v>
      </c>
      <c r="D220" s="4" t="s">
        <v>649</v>
      </c>
      <c r="E220" s="132" t="s">
        <v>2405</v>
      </c>
      <c r="F220" s="20" t="s">
        <v>111</v>
      </c>
      <c r="G220" s="20" t="s">
        <v>1485</v>
      </c>
      <c r="H220" s="5" t="s">
        <v>772</v>
      </c>
      <c r="J220" s="290"/>
      <c r="K220" s="39" t="s">
        <v>2384</v>
      </c>
      <c r="L220" s="38" t="s">
        <v>327</v>
      </c>
      <c r="M220" s="686">
        <v>59.99</v>
      </c>
      <c r="N220" s="37">
        <v>1</v>
      </c>
      <c r="O220" s="281">
        <v>10</v>
      </c>
      <c r="P220" s="46">
        <f>CONVERT(0.145,"kg","lbm")</f>
        <v>0.31967028016807247</v>
      </c>
      <c r="Q220" s="549">
        <f>CONVERT(360,"mm","in")</f>
        <v>14.173228346456694</v>
      </c>
      <c r="R220" s="549">
        <f>CONVERT(215,"mm","in")</f>
        <v>8.4645669291338574</v>
      </c>
      <c r="S220" s="550">
        <v>2.5</v>
      </c>
      <c r="T220" s="46">
        <v>0.31967028016807247</v>
      </c>
      <c r="U220" s="35">
        <v>13.75</v>
      </c>
      <c r="V220" s="35">
        <v>1.5</v>
      </c>
      <c r="W220" s="72">
        <v>1</v>
      </c>
      <c r="X220" s="94" t="s">
        <v>66</v>
      </c>
      <c r="Y220" s="93" t="s">
        <v>66</v>
      </c>
      <c r="Z220" s="93" t="s">
        <v>66</v>
      </c>
      <c r="AA220" s="291" t="s">
        <v>66</v>
      </c>
      <c r="AB220" s="46">
        <v>3.3</v>
      </c>
      <c r="AC220" s="35">
        <v>15</v>
      </c>
      <c r="AD220" s="35">
        <v>5.5</v>
      </c>
      <c r="AE220" s="72">
        <v>2</v>
      </c>
      <c r="AF220" s="46">
        <f t="shared" si="15"/>
        <v>9.5486111111111105E-2</v>
      </c>
      <c r="AG220" s="569" t="s">
        <v>744</v>
      </c>
      <c r="AH220" s="570" t="s">
        <v>860</v>
      </c>
      <c r="AI220" s="569" t="s">
        <v>861</v>
      </c>
      <c r="AJ220" s="178"/>
      <c r="AK220" s="569"/>
      <c r="AL220" s="569"/>
      <c r="AM220" s="569"/>
      <c r="AN220" s="569"/>
      <c r="AO220" s="569"/>
      <c r="AP220" s="20" t="s">
        <v>1839</v>
      </c>
      <c r="AQ220" s="16" t="s">
        <v>937</v>
      </c>
    </row>
    <row r="221" spans="1:43" s="16" customFormat="1" ht="13.8" x14ac:dyDescent="0.3">
      <c r="A221" s="20" t="s">
        <v>2286</v>
      </c>
      <c r="B221" s="20"/>
      <c r="C221" s="42" t="s">
        <v>711</v>
      </c>
      <c r="D221" s="4" t="s">
        <v>649</v>
      </c>
      <c r="E221" s="42" t="s">
        <v>716</v>
      </c>
      <c r="F221" s="20" t="s">
        <v>111</v>
      </c>
      <c r="G221" s="20" t="s">
        <v>1485</v>
      </c>
      <c r="H221" s="5" t="s">
        <v>780</v>
      </c>
      <c r="I221" s="20"/>
      <c r="J221" s="290"/>
      <c r="K221" s="39" t="s">
        <v>2384</v>
      </c>
      <c r="L221" s="38" t="s">
        <v>327</v>
      </c>
      <c r="M221" s="686">
        <v>59.99</v>
      </c>
      <c r="N221" s="37">
        <v>1</v>
      </c>
      <c r="O221" s="281">
        <v>10</v>
      </c>
      <c r="P221" s="46">
        <f>CONVERT(0.236,"kg","lbm")</f>
        <v>0.52029093875631105</v>
      </c>
      <c r="Q221" s="549">
        <f>CONVERT(399,"mm","in")</f>
        <v>15.708661417322835</v>
      </c>
      <c r="R221" s="549">
        <f>CONVERT(250,"mm","in")</f>
        <v>9.8425196850393704</v>
      </c>
      <c r="S221" s="550">
        <v>2.5</v>
      </c>
      <c r="T221" s="46">
        <v>0.52029093875631105</v>
      </c>
      <c r="U221" s="35">
        <v>15.5</v>
      </c>
      <c r="V221" s="35">
        <v>2</v>
      </c>
      <c r="W221" s="72">
        <v>1</v>
      </c>
      <c r="X221" s="94" t="s">
        <v>66</v>
      </c>
      <c r="Y221" s="93" t="s">
        <v>66</v>
      </c>
      <c r="Z221" s="93" t="s">
        <v>66</v>
      </c>
      <c r="AA221" s="291" t="s">
        <v>66</v>
      </c>
      <c r="AB221" s="46">
        <v>5.45</v>
      </c>
      <c r="AC221" s="35">
        <v>18.5</v>
      </c>
      <c r="AD221" s="35">
        <v>6.5</v>
      </c>
      <c r="AE221" s="72">
        <v>2.5</v>
      </c>
      <c r="AF221" s="44">
        <f>AC221*AD221*AE221/(12^3)</f>
        <v>0.17397280092592593</v>
      </c>
      <c r="AG221" s="569" t="s">
        <v>845</v>
      </c>
      <c r="AH221" s="570" t="s">
        <v>846</v>
      </c>
      <c r="AI221" s="569" t="s">
        <v>847</v>
      </c>
      <c r="AJ221" s="178" t="s">
        <v>739</v>
      </c>
      <c r="AK221" s="569"/>
      <c r="AL221" s="569"/>
      <c r="AM221" s="569"/>
      <c r="AN221" s="569"/>
      <c r="AO221" s="569"/>
      <c r="AP221" s="20" t="s">
        <v>1839</v>
      </c>
      <c r="AQ221" s="16" t="s">
        <v>937</v>
      </c>
    </row>
    <row r="222" spans="1:43" s="16" customFormat="1" ht="13.8" x14ac:dyDescent="0.3">
      <c r="A222" s="20" t="s">
        <v>2286</v>
      </c>
      <c r="B222" s="20"/>
      <c r="C222" s="132" t="s">
        <v>1061</v>
      </c>
      <c r="D222" s="4" t="s">
        <v>649</v>
      </c>
      <c r="E222" s="132" t="s">
        <v>2406</v>
      </c>
      <c r="F222" s="20" t="s">
        <v>111</v>
      </c>
      <c r="G222" s="20" t="s">
        <v>1485</v>
      </c>
      <c r="H222" s="554">
        <v>7391846007272</v>
      </c>
      <c r="I222" s="20"/>
      <c r="J222" s="290"/>
      <c r="K222" s="39" t="s">
        <v>2384</v>
      </c>
      <c r="L222" s="38" t="s">
        <v>327</v>
      </c>
      <c r="M222" s="687">
        <v>64.990000000000009</v>
      </c>
      <c r="N222" s="37">
        <v>1</v>
      </c>
      <c r="O222" s="281">
        <v>10</v>
      </c>
      <c r="P222" s="46">
        <f>CONVERT(0.243,"kg","lbm")</f>
        <v>0.53572329710925248</v>
      </c>
      <c r="Q222" s="549">
        <f>CONVERT(387,"mm","in")</f>
        <v>15.236220472440946</v>
      </c>
      <c r="R222" s="549">
        <f>CONVERT(253,"mm","in")</f>
        <v>9.9606299212598426</v>
      </c>
      <c r="S222" s="550">
        <v>2.5</v>
      </c>
      <c r="T222" s="46" t="s">
        <v>1640</v>
      </c>
      <c r="U222" s="35">
        <v>15.25</v>
      </c>
      <c r="V222" s="35">
        <v>1.75</v>
      </c>
      <c r="W222" s="72">
        <v>0.875</v>
      </c>
      <c r="X222" s="94" t="s">
        <v>66</v>
      </c>
      <c r="Y222" s="93" t="s">
        <v>66</v>
      </c>
      <c r="Z222" s="93" t="s">
        <v>66</v>
      </c>
      <c r="AA222" s="291" t="s">
        <v>66</v>
      </c>
      <c r="AB222" s="46">
        <v>5.621787685714378</v>
      </c>
      <c r="AC222" s="35">
        <v>18.5</v>
      </c>
      <c r="AD222" s="35">
        <v>6.375</v>
      </c>
      <c r="AE222" s="72">
        <v>2.375</v>
      </c>
      <c r="AF222" s="44">
        <f t="shared" ref="AF222:AF223" si="20">AC222*AD222*AE222/(12^3)</f>
        <v>0.16209581163194445</v>
      </c>
      <c r="AG222" s="569"/>
      <c r="AH222" s="570"/>
      <c r="AI222" s="569"/>
      <c r="AJ222" s="178"/>
      <c r="AK222" s="569"/>
      <c r="AL222" s="569"/>
      <c r="AM222" s="569"/>
      <c r="AN222" s="569"/>
      <c r="AO222" s="569"/>
      <c r="AP222" s="20" t="s">
        <v>1839</v>
      </c>
      <c r="AQ222" s="16" t="s">
        <v>937</v>
      </c>
    </row>
    <row r="223" spans="1:43" s="16" customFormat="1" ht="13.8" x14ac:dyDescent="0.3">
      <c r="A223" s="20" t="s">
        <v>2286</v>
      </c>
      <c r="B223" s="20"/>
      <c r="C223" s="132" t="s">
        <v>1062</v>
      </c>
      <c r="D223" s="4" t="s">
        <v>649</v>
      </c>
      <c r="E223" s="132" t="s">
        <v>2407</v>
      </c>
      <c r="F223" s="20" t="s">
        <v>111</v>
      </c>
      <c r="G223" s="20" t="s">
        <v>1485</v>
      </c>
      <c r="H223" s="554">
        <v>7391846007289</v>
      </c>
      <c r="I223" s="20"/>
      <c r="J223" s="290"/>
      <c r="K223" s="39" t="s">
        <v>2384</v>
      </c>
      <c r="L223" s="38" t="s">
        <v>327</v>
      </c>
      <c r="M223" s="687">
        <v>74.990000000000009</v>
      </c>
      <c r="N223" s="37">
        <v>1</v>
      </c>
      <c r="O223" s="281">
        <v>10</v>
      </c>
      <c r="P223" s="46">
        <f>CONVERT(0.298,"kg","lbm")</f>
        <v>0.65697754131093511</v>
      </c>
      <c r="Q223" s="549">
        <f>CONVERT(452,"mm","in")</f>
        <v>17.795275590551181</v>
      </c>
      <c r="R223" s="549">
        <f>CONVERT(305,"mm","in")</f>
        <v>12.007874015748031</v>
      </c>
      <c r="S223" s="550">
        <v>2.5</v>
      </c>
      <c r="T223" s="46" t="s">
        <v>1641</v>
      </c>
      <c r="U223" s="35">
        <v>17.5</v>
      </c>
      <c r="V223" s="35">
        <v>2</v>
      </c>
      <c r="W223" s="72">
        <v>0.875</v>
      </c>
      <c r="X223" s="94" t="s">
        <v>66</v>
      </c>
      <c r="Y223" s="93" t="s">
        <v>66</v>
      </c>
      <c r="Z223" s="93" t="s">
        <v>66</v>
      </c>
      <c r="AA223" s="291" t="s">
        <v>66</v>
      </c>
      <c r="AB223" s="46">
        <v>6.7020527704202779</v>
      </c>
      <c r="AC223" s="35">
        <v>18.5</v>
      </c>
      <c r="AD223" s="35">
        <v>6.375</v>
      </c>
      <c r="AE223" s="72">
        <v>2.375</v>
      </c>
      <c r="AF223" s="44">
        <f t="shared" si="20"/>
        <v>0.16209581163194445</v>
      </c>
      <c r="AG223" s="569"/>
      <c r="AH223" s="570"/>
      <c r="AI223" s="569"/>
      <c r="AJ223" s="178"/>
      <c r="AK223" s="569"/>
      <c r="AL223" s="569"/>
      <c r="AM223" s="569"/>
      <c r="AN223" s="569"/>
      <c r="AO223" s="569"/>
      <c r="AP223" s="20" t="s">
        <v>1839</v>
      </c>
      <c r="AQ223" s="16" t="s">
        <v>937</v>
      </c>
    </row>
    <row r="224" spans="1:43" s="16" customFormat="1" x14ac:dyDescent="0.25">
      <c r="A224" s="524" t="s">
        <v>2271</v>
      </c>
      <c r="B224" s="533"/>
      <c r="C224" s="524"/>
      <c r="D224" s="525"/>
      <c r="E224" s="24"/>
      <c r="F224" s="21"/>
      <c r="H224" s="20"/>
      <c r="I224" s="30"/>
      <c r="J224" s="31"/>
      <c r="K224" s="31"/>
      <c r="L224" s="31"/>
      <c r="M224" s="691"/>
      <c r="N224" s="19"/>
      <c r="O224" s="77"/>
      <c r="P224" s="46"/>
      <c r="Q224" s="35"/>
      <c r="R224" s="35"/>
      <c r="S224" s="72"/>
      <c r="T224" s="44"/>
      <c r="U224" s="17"/>
      <c r="V224" s="17"/>
      <c r="W224" s="45"/>
      <c r="X224" s="44"/>
      <c r="Y224" s="17"/>
      <c r="Z224" s="17"/>
      <c r="AA224" s="45"/>
      <c r="AB224" s="44"/>
      <c r="AC224" s="17"/>
      <c r="AD224" s="17"/>
      <c r="AE224" s="45"/>
      <c r="AF224" s="46"/>
      <c r="AG224" s="22"/>
      <c r="AH224" s="22"/>
      <c r="AI224" s="22"/>
      <c r="AJ224" s="22"/>
      <c r="AK224" s="22"/>
      <c r="AL224" s="22"/>
      <c r="AM224" s="22"/>
      <c r="AN224" s="22"/>
      <c r="AO224" s="22"/>
      <c r="AQ224" s="23"/>
    </row>
    <row r="225" spans="1:43" s="16" customFormat="1" ht="13.8" x14ac:dyDescent="0.3">
      <c r="A225" s="20" t="s">
        <v>2286</v>
      </c>
      <c r="B225" s="20"/>
      <c r="C225" s="42" t="s">
        <v>707</v>
      </c>
      <c r="D225" s="4" t="s">
        <v>649</v>
      </c>
      <c r="E225" s="42" t="s">
        <v>712</v>
      </c>
      <c r="F225" s="20" t="s">
        <v>111</v>
      </c>
      <c r="G225" s="20" t="s">
        <v>1485</v>
      </c>
      <c r="H225" s="5" t="s">
        <v>776</v>
      </c>
      <c r="I225" s="20"/>
      <c r="J225" s="290"/>
      <c r="K225" s="39" t="s">
        <v>2384</v>
      </c>
      <c r="L225" s="38" t="s">
        <v>327</v>
      </c>
      <c r="M225" s="686">
        <v>69.989999999999995</v>
      </c>
      <c r="N225" s="37">
        <v>1</v>
      </c>
      <c r="O225" s="281">
        <v>10</v>
      </c>
      <c r="P225" s="46">
        <f>CONVERT(0.185,"kg","lbm")</f>
        <v>0.4078551850420235</v>
      </c>
      <c r="Q225" s="35" t="s">
        <v>2385</v>
      </c>
      <c r="R225" s="549">
        <f>CONVERT(216,"mm","in")</f>
        <v>8.5039370078740166</v>
      </c>
      <c r="S225" s="550">
        <v>2.5</v>
      </c>
      <c r="T225" s="46">
        <v>0.4078551850420235</v>
      </c>
      <c r="U225" s="35">
        <v>13.5</v>
      </c>
      <c r="V225" s="35">
        <v>2</v>
      </c>
      <c r="W225" s="72">
        <v>1</v>
      </c>
      <c r="X225" s="94" t="s">
        <v>66</v>
      </c>
      <c r="Y225" s="93" t="s">
        <v>66</v>
      </c>
      <c r="Z225" s="93" t="s">
        <v>66</v>
      </c>
      <c r="AA225" s="291" t="s">
        <v>66</v>
      </c>
      <c r="AB225" s="46">
        <v>4.125</v>
      </c>
      <c r="AC225" s="35">
        <v>18</v>
      </c>
      <c r="AD225" s="35">
        <v>6.5</v>
      </c>
      <c r="AE225" s="72">
        <v>2.5</v>
      </c>
      <c r="AF225" s="44">
        <f>AC225*AD225*AE225/(12^3)</f>
        <v>0.16927083333333334</v>
      </c>
      <c r="AG225" s="569" t="s">
        <v>745</v>
      </c>
      <c r="AH225" s="570" t="s">
        <v>844</v>
      </c>
      <c r="AI225" s="569" t="s">
        <v>783</v>
      </c>
      <c r="AJ225" s="178" t="s">
        <v>739</v>
      </c>
      <c r="AK225" s="569"/>
      <c r="AL225" s="569"/>
      <c r="AM225" s="569"/>
      <c r="AN225" s="569"/>
      <c r="AO225" s="569"/>
      <c r="AP225" s="20" t="s">
        <v>1839</v>
      </c>
      <c r="AQ225" s="16" t="s">
        <v>937</v>
      </c>
    </row>
    <row r="226" spans="1:43" s="16" customFormat="1" ht="13.8" x14ac:dyDescent="0.3">
      <c r="A226" s="20" t="s">
        <v>2286</v>
      </c>
      <c r="B226" s="20"/>
      <c r="C226" s="42" t="s">
        <v>708</v>
      </c>
      <c r="D226" s="4" t="s">
        <v>649</v>
      </c>
      <c r="E226" s="42" t="s">
        <v>713</v>
      </c>
      <c r="F226" s="20" t="s">
        <v>111</v>
      </c>
      <c r="G226" s="20" t="s">
        <v>1485</v>
      </c>
      <c r="H226" s="5" t="s">
        <v>777</v>
      </c>
      <c r="I226" s="20"/>
      <c r="J226" s="290"/>
      <c r="K226" s="39" t="s">
        <v>2384</v>
      </c>
      <c r="L226" s="38" t="s">
        <v>327</v>
      </c>
      <c r="M226" s="686">
        <v>59.99</v>
      </c>
      <c r="N226" s="37">
        <v>1</v>
      </c>
      <c r="O226" s="281">
        <v>10</v>
      </c>
      <c r="P226" s="46">
        <f>CONVERT(0.146,"kg","lbm")</f>
        <v>0.32187490278992126</v>
      </c>
      <c r="Q226" s="35" t="s">
        <v>2385</v>
      </c>
      <c r="R226" s="549">
        <f>CONVERT(214,"mm","in")</f>
        <v>8.4251968503937</v>
      </c>
      <c r="S226" s="550">
        <v>2.5</v>
      </c>
      <c r="T226" s="46">
        <v>0.32187490278992126</v>
      </c>
      <c r="U226" s="35">
        <v>13.5</v>
      </c>
      <c r="V226" s="35">
        <v>1.75</v>
      </c>
      <c r="W226" s="72">
        <v>1</v>
      </c>
      <c r="X226" s="94" t="s">
        <v>66</v>
      </c>
      <c r="Y226" s="93" t="s">
        <v>66</v>
      </c>
      <c r="Z226" s="93" t="s">
        <v>66</v>
      </c>
      <c r="AA226" s="291" t="s">
        <v>66</v>
      </c>
      <c r="AB226" s="46">
        <v>3.12</v>
      </c>
      <c r="AC226" s="35">
        <v>15</v>
      </c>
      <c r="AD226" s="35">
        <v>5.5</v>
      </c>
      <c r="AE226" s="72">
        <v>2</v>
      </c>
      <c r="AF226" s="44">
        <f>AC226*AD226*AE226/(12^3)</f>
        <v>9.5486111111111105E-2</v>
      </c>
      <c r="AG226" s="569" t="s">
        <v>745</v>
      </c>
      <c r="AH226" s="570" t="s">
        <v>844</v>
      </c>
      <c r="AI226" s="569" t="s">
        <v>783</v>
      </c>
      <c r="AJ226" s="178" t="s">
        <v>739</v>
      </c>
      <c r="AK226" s="569"/>
      <c r="AL226" s="569"/>
      <c r="AM226" s="569"/>
      <c r="AN226" s="569"/>
      <c r="AO226" s="569"/>
      <c r="AP226" s="20" t="s">
        <v>1839</v>
      </c>
      <c r="AQ226" s="16" t="s">
        <v>937</v>
      </c>
    </row>
    <row r="227" spans="1:43" s="16" customFormat="1" ht="13.8" x14ac:dyDescent="0.3">
      <c r="A227" s="20" t="s">
        <v>2286</v>
      </c>
      <c r="B227" s="20"/>
      <c r="C227" s="42" t="s">
        <v>710</v>
      </c>
      <c r="D227" s="4" t="s">
        <v>649</v>
      </c>
      <c r="E227" s="42" t="s">
        <v>715</v>
      </c>
      <c r="F227" s="20" t="s">
        <v>111</v>
      </c>
      <c r="G227" s="20" t="s">
        <v>1485</v>
      </c>
      <c r="H227" s="5" t="s">
        <v>779</v>
      </c>
      <c r="I227" s="20"/>
      <c r="J227" s="290"/>
      <c r="K227" s="39" t="s">
        <v>2384</v>
      </c>
      <c r="L227" s="38" t="s">
        <v>327</v>
      </c>
      <c r="M227" s="686">
        <v>24.99</v>
      </c>
      <c r="N227" s="37">
        <v>1</v>
      </c>
      <c r="O227" s="281">
        <v>10</v>
      </c>
      <c r="P227" s="46">
        <f>CONVERT(0.062,"kg","lbm")</f>
        <v>0.13668660255462411</v>
      </c>
      <c r="Q227" s="549">
        <f>CONVERT(237,"mm","in")</f>
        <v>9.3307086614173222</v>
      </c>
      <c r="R227" s="549">
        <f>CONVERT(118,"mm","in")</f>
        <v>4.6456692913385824</v>
      </c>
      <c r="S227" s="550">
        <v>1.6</v>
      </c>
      <c r="T227" s="46">
        <v>0.13668660255462409</v>
      </c>
      <c r="U227" s="35">
        <v>9.5</v>
      </c>
      <c r="V227" s="35">
        <v>1</v>
      </c>
      <c r="W227" s="72">
        <v>1</v>
      </c>
      <c r="X227" s="94" t="s">
        <v>66</v>
      </c>
      <c r="Y227" s="93" t="s">
        <v>66</v>
      </c>
      <c r="Z227" s="93" t="s">
        <v>66</v>
      </c>
      <c r="AA227" s="291" t="s">
        <v>66</v>
      </c>
      <c r="AB227" s="46">
        <v>2</v>
      </c>
      <c r="AC227" s="35">
        <v>12</v>
      </c>
      <c r="AD227" s="35">
        <v>4</v>
      </c>
      <c r="AE227" s="72">
        <v>2</v>
      </c>
      <c r="AF227" s="44">
        <f>AC227*AD227*AE227/(12^3)</f>
        <v>5.5555555555555552E-2</v>
      </c>
      <c r="AG227" s="569" t="s">
        <v>843</v>
      </c>
      <c r="AH227" s="570" t="s">
        <v>726</v>
      </c>
      <c r="AI227" s="569" t="s">
        <v>848</v>
      </c>
      <c r="AJ227" s="178" t="s">
        <v>739</v>
      </c>
      <c r="AK227" s="569"/>
      <c r="AL227" s="569"/>
      <c r="AM227" s="569"/>
      <c r="AN227" s="569"/>
      <c r="AO227" s="569"/>
      <c r="AP227" s="20" t="s">
        <v>1839</v>
      </c>
      <c r="AQ227" s="16" t="s">
        <v>937</v>
      </c>
    </row>
    <row r="228" spans="1:43" s="16" customFormat="1" ht="13.8" x14ac:dyDescent="0.3">
      <c r="A228" s="20" t="s">
        <v>2286</v>
      </c>
      <c r="B228" s="20"/>
      <c r="C228" s="42" t="s">
        <v>709</v>
      </c>
      <c r="D228" s="4" t="s">
        <v>649</v>
      </c>
      <c r="E228" s="42" t="s">
        <v>714</v>
      </c>
      <c r="F228" s="20" t="s">
        <v>111</v>
      </c>
      <c r="G228" s="20" t="s">
        <v>1485</v>
      </c>
      <c r="H228" s="5" t="s">
        <v>778</v>
      </c>
      <c r="I228" s="20"/>
      <c r="J228" s="290"/>
      <c r="K228" s="39" t="s">
        <v>2384</v>
      </c>
      <c r="L228" s="38" t="s">
        <v>327</v>
      </c>
      <c r="M228" s="686">
        <v>24.99</v>
      </c>
      <c r="N228" s="37">
        <v>1</v>
      </c>
      <c r="O228" s="281">
        <v>10</v>
      </c>
      <c r="P228" s="46">
        <f>CONVERT(0.065,"kg","lbm")</f>
        <v>0.14330047042017041</v>
      </c>
      <c r="Q228" s="549">
        <f>CONVERT(205,"mm","in")</f>
        <v>8.0708661417322833</v>
      </c>
      <c r="R228" s="549">
        <f>CONVERT(85,"mm","in")</f>
        <v>3.3464566929133857</v>
      </c>
      <c r="S228" s="550">
        <v>2</v>
      </c>
      <c r="T228" s="46">
        <v>0.14330047042017041</v>
      </c>
      <c r="U228" s="35">
        <v>8</v>
      </c>
      <c r="V228" s="35">
        <v>1</v>
      </c>
      <c r="W228" s="72">
        <v>1</v>
      </c>
      <c r="X228" s="94" t="s">
        <v>66</v>
      </c>
      <c r="Y228" s="93" t="s">
        <v>66</v>
      </c>
      <c r="Z228" s="93" t="s">
        <v>66</v>
      </c>
      <c r="AA228" s="291" t="s">
        <v>66</v>
      </c>
      <c r="AB228" s="46">
        <v>1.4</v>
      </c>
      <c r="AC228" s="35">
        <v>12</v>
      </c>
      <c r="AD228" s="35">
        <v>4</v>
      </c>
      <c r="AE228" s="72">
        <v>2</v>
      </c>
      <c r="AF228" s="44">
        <f>AC228*AD228*AE228/(12^3)</f>
        <v>5.5555555555555552E-2</v>
      </c>
      <c r="AG228" s="569" t="s">
        <v>843</v>
      </c>
      <c r="AH228" s="570" t="s">
        <v>783</v>
      </c>
      <c r="AI228" s="569" t="s">
        <v>849</v>
      </c>
      <c r="AJ228" s="178" t="s">
        <v>739</v>
      </c>
      <c r="AK228" s="569"/>
      <c r="AL228" s="569"/>
      <c r="AM228" s="569"/>
      <c r="AN228" s="569"/>
      <c r="AO228" s="569"/>
      <c r="AP228" s="20" t="s">
        <v>1839</v>
      </c>
      <c r="AQ228" s="16" t="s">
        <v>937</v>
      </c>
    </row>
    <row r="229" spans="1:43" s="16" customFormat="1" x14ac:dyDescent="0.25">
      <c r="A229" s="524" t="s">
        <v>720</v>
      </c>
      <c r="B229" s="533"/>
      <c r="C229" s="524"/>
      <c r="D229" s="525"/>
      <c r="E229" s="24"/>
      <c r="F229" s="21"/>
      <c r="H229" s="20"/>
      <c r="I229" s="30"/>
      <c r="J229" s="31"/>
      <c r="K229" s="31"/>
      <c r="L229" s="31"/>
      <c r="M229" s="691"/>
      <c r="N229" s="19"/>
      <c r="O229" s="77"/>
      <c r="P229" s="46"/>
      <c r="Q229" s="35"/>
      <c r="R229" s="35"/>
      <c r="S229" s="72"/>
      <c r="T229" s="44"/>
      <c r="U229" s="35"/>
      <c r="V229" s="35"/>
      <c r="W229" s="72"/>
      <c r="X229" s="44"/>
      <c r="Y229" s="17"/>
      <c r="Z229" s="17"/>
      <c r="AA229" s="45"/>
      <c r="AB229" s="44"/>
      <c r="AC229" s="17"/>
      <c r="AD229" s="17"/>
      <c r="AE229" s="45"/>
      <c r="AF229" s="46"/>
      <c r="AG229" s="22"/>
      <c r="AH229" s="22"/>
      <c r="AI229" s="22"/>
      <c r="AJ229" s="22"/>
      <c r="AK229" s="22"/>
      <c r="AL229" s="22"/>
      <c r="AM229" s="22"/>
      <c r="AN229" s="22"/>
      <c r="AO229" s="22"/>
      <c r="AQ229" s="23"/>
    </row>
    <row r="230" spans="1:43" s="16" customFormat="1" ht="13.8" x14ac:dyDescent="0.3">
      <c r="A230" s="20" t="s">
        <v>2286</v>
      </c>
      <c r="B230" s="20"/>
      <c r="C230" s="4" t="s">
        <v>721</v>
      </c>
      <c r="D230" s="4" t="s">
        <v>621</v>
      </c>
      <c r="E230" s="4" t="s">
        <v>2408</v>
      </c>
      <c r="F230" s="20" t="s">
        <v>54</v>
      </c>
      <c r="G230" s="20" t="s">
        <v>1485</v>
      </c>
      <c r="H230" s="5" t="s">
        <v>929</v>
      </c>
      <c r="I230" s="20"/>
      <c r="J230" s="290"/>
      <c r="K230" s="39" t="s">
        <v>523</v>
      </c>
      <c r="L230" s="38" t="s">
        <v>327</v>
      </c>
      <c r="M230" s="682">
        <v>24.99</v>
      </c>
      <c r="N230" s="37">
        <v>1</v>
      </c>
      <c r="O230" s="281">
        <v>10</v>
      </c>
      <c r="P230" s="46">
        <f>CONVERT(0.172,"kg","lbm")</f>
        <v>0.37919509095798937</v>
      </c>
      <c r="Q230" s="35" t="s">
        <v>2394</v>
      </c>
      <c r="R230" s="549">
        <f>CONVERT(137,"mm","in")</f>
        <v>5.3937007874015741</v>
      </c>
      <c r="S230" s="550">
        <v>2</v>
      </c>
      <c r="T230" s="46">
        <v>0.37919509095798942</v>
      </c>
      <c r="U230" s="35">
        <v>11</v>
      </c>
      <c r="V230" s="35">
        <v>1.5</v>
      </c>
      <c r="W230" s="72">
        <v>0.5</v>
      </c>
      <c r="X230" s="94" t="s">
        <v>66</v>
      </c>
      <c r="Y230" s="93" t="s">
        <v>66</v>
      </c>
      <c r="Z230" s="93" t="s">
        <v>66</v>
      </c>
      <c r="AA230" s="291" t="s">
        <v>66</v>
      </c>
      <c r="AB230" s="46">
        <v>3</v>
      </c>
      <c r="AC230" s="35">
        <v>12</v>
      </c>
      <c r="AD230" s="35">
        <v>4</v>
      </c>
      <c r="AE230" s="72">
        <v>2</v>
      </c>
      <c r="AF230" s="44">
        <f>AC230*AD230*AE230/(12^3)</f>
        <v>5.5555555555555552E-2</v>
      </c>
      <c r="AG230" s="569" t="s">
        <v>724</v>
      </c>
      <c r="AH230" s="569" t="s">
        <v>729</v>
      </c>
      <c r="AI230" s="569" t="s">
        <v>726</v>
      </c>
      <c r="AJ230" s="178" t="s">
        <v>730</v>
      </c>
      <c r="AK230" s="569" t="s">
        <v>727</v>
      </c>
      <c r="AL230" s="569"/>
      <c r="AM230" s="569"/>
      <c r="AN230" s="569"/>
      <c r="AO230" s="571" t="s">
        <v>928</v>
      </c>
      <c r="AP230" s="20" t="s">
        <v>1839</v>
      </c>
      <c r="AQ230" s="16" t="s">
        <v>937</v>
      </c>
    </row>
    <row r="231" spans="1:43" s="16" customFormat="1" ht="13.8" x14ac:dyDescent="0.3">
      <c r="A231" s="20" t="s">
        <v>2286</v>
      </c>
      <c r="B231" s="20"/>
      <c r="C231" s="42" t="s">
        <v>991</v>
      </c>
      <c r="D231" s="4" t="s">
        <v>649</v>
      </c>
      <c r="E231" s="42" t="s">
        <v>995</v>
      </c>
      <c r="F231" s="20" t="s">
        <v>2307</v>
      </c>
      <c r="G231" s="20" t="s">
        <v>1485</v>
      </c>
      <c r="H231" s="57" t="s">
        <v>999</v>
      </c>
      <c r="I231" s="20"/>
      <c r="J231" s="290"/>
      <c r="K231" s="39" t="s">
        <v>523</v>
      </c>
      <c r="L231" s="38" t="s">
        <v>327</v>
      </c>
      <c r="M231" s="682">
        <v>22.99</v>
      </c>
      <c r="N231" s="37">
        <v>1</v>
      </c>
      <c r="O231" s="281">
        <v>10</v>
      </c>
      <c r="P231" s="46">
        <f>CONVERT(0.08,"kg","lbm")</f>
        <v>0.17636980974790206</v>
      </c>
      <c r="Q231" s="35" t="s">
        <v>2385</v>
      </c>
      <c r="R231" s="549">
        <f>CONVERT(71,"mm","in")</f>
        <v>2.7952755905511815</v>
      </c>
      <c r="S231" s="550" t="s">
        <v>66</v>
      </c>
      <c r="T231" s="46">
        <v>0.17636980974790206</v>
      </c>
      <c r="U231" s="135"/>
      <c r="V231" s="135"/>
      <c r="W231" s="136"/>
      <c r="X231" s="94" t="s">
        <v>66</v>
      </c>
      <c r="Y231" s="93" t="s">
        <v>66</v>
      </c>
      <c r="Z231" s="93" t="s">
        <v>66</v>
      </c>
      <c r="AA231" s="291" t="s">
        <v>66</v>
      </c>
      <c r="AB231" s="134"/>
      <c r="AC231" s="135"/>
      <c r="AD231" s="135"/>
      <c r="AE231" s="136"/>
      <c r="AF231" s="44"/>
      <c r="AG231" s="569"/>
      <c r="AH231" s="569"/>
      <c r="AI231" s="178"/>
      <c r="AJ231" s="178"/>
      <c r="AK231" s="569"/>
      <c r="AL231" s="569"/>
      <c r="AM231" s="569"/>
      <c r="AN231" s="569"/>
      <c r="AO231" s="569"/>
      <c r="AP231" s="20" t="s">
        <v>1839</v>
      </c>
      <c r="AQ231" s="16" t="s">
        <v>937</v>
      </c>
    </row>
    <row r="232" spans="1:43" s="16" customFormat="1" ht="13.8" x14ac:dyDescent="0.3">
      <c r="A232" s="20" t="s">
        <v>2286</v>
      </c>
      <c r="B232" s="20"/>
      <c r="C232" s="42" t="s">
        <v>992</v>
      </c>
      <c r="D232" s="4" t="s">
        <v>649</v>
      </c>
      <c r="E232" s="42" t="s">
        <v>996</v>
      </c>
      <c r="F232" s="20" t="s">
        <v>2307</v>
      </c>
      <c r="G232" s="20" t="s">
        <v>1485</v>
      </c>
      <c r="H232" s="57" t="s">
        <v>1000</v>
      </c>
      <c r="I232" s="20"/>
      <c r="J232" s="290"/>
      <c r="K232" s="39" t="s">
        <v>523</v>
      </c>
      <c r="L232" s="38" t="s">
        <v>327</v>
      </c>
      <c r="M232" s="682">
        <v>22.99</v>
      </c>
      <c r="N232" s="37">
        <v>1</v>
      </c>
      <c r="O232" s="281">
        <v>10</v>
      </c>
      <c r="P232" s="46">
        <f>CONVERT(0.079,"kg","lbm")</f>
        <v>0.17416518712605328</v>
      </c>
      <c r="Q232" s="35" t="s">
        <v>2385</v>
      </c>
      <c r="R232" s="549">
        <f>CONVERT(71,"mm","in")</f>
        <v>2.7952755905511815</v>
      </c>
      <c r="S232" s="550" t="s">
        <v>66</v>
      </c>
      <c r="T232" s="46">
        <v>0.17416518712605328</v>
      </c>
      <c r="U232" s="135"/>
      <c r="V232" s="135"/>
      <c r="W232" s="136"/>
      <c r="X232" s="94" t="s">
        <v>66</v>
      </c>
      <c r="Y232" s="93" t="s">
        <v>66</v>
      </c>
      <c r="Z232" s="93" t="s">
        <v>66</v>
      </c>
      <c r="AA232" s="291" t="s">
        <v>66</v>
      </c>
      <c r="AB232" s="134"/>
      <c r="AC232" s="135"/>
      <c r="AD232" s="135"/>
      <c r="AE232" s="136"/>
      <c r="AF232" s="44"/>
      <c r="AG232" s="569"/>
      <c r="AH232" s="569"/>
      <c r="AI232" s="178"/>
      <c r="AJ232" s="178"/>
      <c r="AK232" s="569"/>
      <c r="AL232" s="569"/>
      <c r="AM232" s="569"/>
      <c r="AN232" s="569"/>
      <c r="AO232" s="569"/>
      <c r="AP232" s="20" t="s">
        <v>1839</v>
      </c>
      <c r="AQ232" s="16" t="s">
        <v>937</v>
      </c>
    </row>
    <row r="233" spans="1:43" s="16" customFormat="1" ht="13.8" x14ac:dyDescent="0.3">
      <c r="A233" s="20" t="s">
        <v>2286</v>
      </c>
      <c r="B233" s="20"/>
      <c r="C233" s="42" t="s">
        <v>993</v>
      </c>
      <c r="D233" s="4" t="s">
        <v>649</v>
      </c>
      <c r="E233" s="42" t="s">
        <v>997</v>
      </c>
      <c r="F233" s="20" t="s">
        <v>2307</v>
      </c>
      <c r="G233" s="20" t="s">
        <v>1485</v>
      </c>
      <c r="H233" s="57" t="s">
        <v>1001</v>
      </c>
      <c r="I233" s="20"/>
      <c r="J233" s="290"/>
      <c r="K233" s="39" t="s">
        <v>523</v>
      </c>
      <c r="L233" s="38" t="s">
        <v>327</v>
      </c>
      <c r="M233" s="682">
        <v>24.99</v>
      </c>
      <c r="N233" s="37">
        <v>1</v>
      </c>
      <c r="O233" s="281">
        <v>10</v>
      </c>
      <c r="P233" s="46">
        <f>CONVERT(0.077,"kg","lbm")</f>
        <v>0.16975594188235571</v>
      </c>
      <c r="Q233" s="35" t="s">
        <v>2385</v>
      </c>
      <c r="R233" s="549">
        <f>CONVERT(78,"mm","in")</f>
        <v>3.0708661417322833</v>
      </c>
      <c r="S233" s="550" t="s">
        <v>66</v>
      </c>
      <c r="T233" s="46">
        <v>0.16975594188235574</v>
      </c>
      <c r="U233" s="135"/>
      <c r="V233" s="135"/>
      <c r="W233" s="136"/>
      <c r="X233" s="94" t="s">
        <v>66</v>
      </c>
      <c r="Y233" s="93" t="s">
        <v>66</v>
      </c>
      <c r="Z233" s="93" t="s">
        <v>66</v>
      </c>
      <c r="AA233" s="291" t="s">
        <v>66</v>
      </c>
      <c r="AB233" s="134"/>
      <c r="AC233" s="135"/>
      <c r="AD233" s="135"/>
      <c r="AE233" s="136"/>
      <c r="AF233" s="44"/>
      <c r="AG233" s="569"/>
      <c r="AH233" s="569"/>
      <c r="AI233" s="178"/>
      <c r="AJ233" s="178"/>
      <c r="AK233" s="569"/>
      <c r="AL233" s="569"/>
      <c r="AM233" s="569"/>
      <c r="AN233" s="569"/>
      <c r="AO233" s="569"/>
      <c r="AP233" s="20" t="s">
        <v>1839</v>
      </c>
      <c r="AQ233" s="16" t="s">
        <v>937</v>
      </c>
    </row>
    <row r="234" spans="1:43" s="16" customFormat="1" ht="13.8" x14ac:dyDescent="0.3">
      <c r="A234" s="20" t="s">
        <v>2286</v>
      </c>
      <c r="B234" s="20"/>
      <c r="C234" s="4" t="s">
        <v>722</v>
      </c>
      <c r="D234" s="4" t="s">
        <v>649</v>
      </c>
      <c r="E234" s="4" t="s">
        <v>1491</v>
      </c>
      <c r="F234" s="20" t="s">
        <v>2307</v>
      </c>
      <c r="G234" s="20" t="s">
        <v>1485</v>
      </c>
      <c r="H234" s="566">
        <v>7316220019405</v>
      </c>
      <c r="I234" s="20"/>
      <c r="J234" s="290"/>
      <c r="K234" s="39" t="s">
        <v>523</v>
      </c>
      <c r="L234" s="38" t="s">
        <v>327</v>
      </c>
      <c r="M234" s="682">
        <v>27.99</v>
      </c>
      <c r="N234" s="37">
        <v>1</v>
      </c>
      <c r="O234" s="281">
        <v>10</v>
      </c>
      <c r="P234" s="46">
        <f>CONVERT(0.077,"kg","lbm")</f>
        <v>0.16975594188235571</v>
      </c>
      <c r="Q234" s="35" t="s">
        <v>2385</v>
      </c>
      <c r="R234" s="549">
        <f>CONVERT(78,"mm","in")</f>
        <v>3.0708661417322833</v>
      </c>
      <c r="S234" s="550" t="s">
        <v>66</v>
      </c>
      <c r="T234" s="46">
        <v>0.16975594188235574</v>
      </c>
      <c r="U234" s="35">
        <v>8</v>
      </c>
      <c r="V234" s="35">
        <v>1.5</v>
      </c>
      <c r="W234" s="72">
        <v>1</v>
      </c>
      <c r="X234" s="94" t="s">
        <v>66</v>
      </c>
      <c r="Y234" s="93" t="s">
        <v>66</v>
      </c>
      <c r="Z234" s="93" t="s">
        <v>66</v>
      </c>
      <c r="AA234" s="291" t="s">
        <v>66</v>
      </c>
      <c r="AB234" s="46">
        <v>2</v>
      </c>
      <c r="AC234" s="35">
        <v>9</v>
      </c>
      <c r="AD234" s="35">
        <v>4</v>
      </c>
      <c r="AE234" s="72">
        <v>3</v>
      </c>
      <c r="AF234" s="44">
        <f>AC234*AD234*AE234/(12^3)</f>
        <v>6.25E-2</v>
      </c>
      <c r="AG234" s="569" t="s">
        <v>723</v>
      </c>
      <c r="AH234" s="569" t="s">
        <v>724</v>
      </c>
      <c r="AI234" s="178" t="s">
        <v>725</v>
      </c>
      <c r="AJ234" s="178" t="s">
        <v>726</v>
      </c>
      <c r="AK234" s="569" t="s">
        <v>731</v>
      </c>
      <c r="AL234" s="569"/>
      <c r="AM234" s="569"/>
      <c r="AN234" s="569"/>
      <c r="AO234" s="569" t="s">
        <v>728</v>
      </c>
      <c r="AP234" s="20" t="s">
        <v>1839</v>
      </c>
      <c r="AQ234" s="16" t="s">
        <v>937</v>
      </c>
    </row>
    <row r="235" spans="1:43" s="16" customFormat="1" ht="13.8" x14ac:dyDescent="0.3">
      <c r="A235" s="20" t="s">
        <v>2286</v>
      </c>
      <c r="B235" s="20"/>
      <c r="C235" s="42" t="s">
        <v>994</v>
      </c>
      <c r="D235" s="4" t="s">
        <v>649</v>
      </c>
      <c r="E235" s="42" t="s">
        <v>998</v>
      </c>
      <c r="F235" s="20" t="s">
        <v>2307</v>
      </c>
      <c r="G235" s="20" t="s">
        <v>1485</v>
      </c>
      <c r="H235" s="57" t="s">
        <v>1002</v>
      </c>
      <c r="I235" s="20"/>
      <c r="J235" s="290"/>
      <c r="K235" s="39" t="s">
        <v>523</v>
      </c>
      <c r="L235" s="38" t="s">
        <v>327</v>
      </c>
      <c r="M235" s="682">
        <v>34.99</v>
      </c>
      <c r="N235" s="37">
        <v>1</v>
      </c>
      <c r="O235" s="281">
        <v>10</v>
      </c>
      <c r="P235" s="46">
        <f>CONVERT(0.079,"kg","lbm")</f>
        <v>0.17416518712605328</v>
      </c>
      <c r="Q235" s="35" t="s">
        <v>2385</v>
      </c>
      <c r="R235" s="549">
        <f>CONVERT(78,"mm","in")</f>
        <v>3.0708661417322833</v>
      </c>
      <c r="S235" s="550" t="s">
        <v>66</v>
      </c>
      <c r="T235" s="46">
        <v>0.17416518712605328</v>
      </c>
      <c r="U235" s="135"/>
      <c r="V235" s="135"/>
      <c r="W235" s="136"/>
      <c r="X235" s="94" t="s">
        <v>66</v>
      </c>
      <c r="Y235" s="93" t="s">
        <v>66</v>
      </c>
      <c r="Z235" s="93" t="s">
        <v>66</v>
      </c>
      <c r="AA235" s="291" t="s">
        <v>66</v>
      </c>
      <c r="AB235" s="134"/>
      <c r="AC235" s="135"/>
      <c r="AD235" s="135"/>
      <c r="AE235" s="136"/>
      <c r="AF235" s="44"/>
      <c r="AG235" s="569"/>
      <c r="AH235" s="569"/>
      <c r="AI235" s="178"/>
      <c r="AJ235" s="178"/>
      <c r="AK235" s="569"/>
      <c r="AL235" s="569"/>
      <c r="AM235" s="569"/>
      <c r="AN235" s="569"/>
      <c r="AO235" s="569"/>
      <c r="AP235" s="20" t="s">
        <v>1839</v>
      </c>
      <c r="AQ235" s="16" t="s">
        <v>937</v>
      </c>
    </row>
    <row r="236" spans="1:43" x14ac:dyDescent="0.25">
      <c r="O236" s="282"/>
      <c r="P236" s="46"/>
      <c r="Q236" s="35"/>
      <c r="R236" s="35"/>
      <c r="S236" s="72"/>
      <c r="T236" s="546"/>
      <c r="W236" s="282"/>
      <c r="X236" s="273"/>
      <c r="AA236" s="282"/>
      <c r="AB236" s="546"/>
      <c r="AE236" s="282"/>
      <c r="AF236" s="273"/>
    </row>
    <row r="237" spans="1:43" x14ac:dyDescent="0.25">
      <c r="P237" s="35"/>
      <c r="Q237" s="35"/>
      <c r="R237" s="35"/>
      <c r="S237" s="35"/>
    </row>
    <row r="238" spans="1:43" x14ac:dyDescent="0.25">
      <c r="P238" s="35"/>
      <c r="Q238" s="192"/>
      <c r="R238" s="192"/>
      <c r="S238" s="192"/>
    </row>
    <row r="239" spans="1:43" x14ac:dyDescent="0.25">
      <c r="P239" s="35"/>
      <c r="Q239" s="35"/>
      <c r="R239" s="35"/>
      <c r="S239" s="35"/>
    </row>
    <row r="240" spans="1:43" x14ac:dyDescent="0.25">
      <c r="P240" s="35"/>
      <c r="Q240" s="35"/>
      <c r="R240" s="35"/>
      <c r="S240" s="35"/>
    </row>
    <row r="241" spans="16:19" x14ac:dyDescent="0.25">
      <c r="P241" s="35"/>
      <c r="Q241" s="35"/>
      <c r="R241" s="35"/>
      <c r="S241" s="35"/>
    </row>
    <row r="242" spans="16:19" x14ac:dyDescent="0.25">
      <c r="P242" s="35"/>
      <c r="Q242" s="35"/>
      <c r="R242" s="35"/>
      <c r="S242" s="35"/>
    </row>
    <row r="243" spans="16:19" x14ac:dyDescent="0.25">
      <c r="P243" s="35"/>
      <c r="Q243" s="35"/>
      <c r="R243" s="35"/>
      <c r="S243" s="35"/>
    </row>
    <row r="244" spans="16:19" x14ac:dyDescent="0.25">
      <c r="P244" s="35"/>
      <c r="Q244" s="35"/>
      <c r="R244" s="35"/>
      <c r="S244" s="35"/>
    </row>
    <row r="245" spans="16:19" ht="15.6" x14ac:dyDescent="0.3">
      <c r="P245" s="321"/>
      <c r="Q245" s="196"/>
      <c r="R245" s="196"/>
      <c r="S245" s="196"/>
    </row>
    <row r="246" spans="16:19" x14ac:dyDescent="0.25">
      <c r="P246" s="35"/>
      <c r="Q246" s="35"/>
      <c r="R246" s="35"/>
      <c r="S246" s="35"/>
    </row>
    <row r="247" spans="16:19" x14ac:dyDescent="0.25">
      <c r="P247" s="35"/>
      <c r="Q247" s="35"/>
      <c r="R247" s="35"/>
      <c r="S247" s="35"/>
    </row>
    <row r="248" spans="16:19" x14ac:dyDescent="0.25">
      <c r="P248" s="35"/>
      <c r="Q248" s="35"/>
      <c r="R248" s="35"/>
      <c r="S248" s="35"/>
    </row>
    <row r="249" spans="16:19" x14ac:dyDescent="0.25">
      <c r="P249" s="35"/>
      <c r="Q249" s="35"/>
      <c r="R249" s="35"/>
      <c r="S249" s="35"/>
    </row>
    <row r="250" spans="16:19" x14ac:dyDescent="0.25">
      <c r="P250" s="35"/>
      <c r="Q250" s="35"/>
      <c r="R250" s="35"/>
      <c r="S250" s="35"/>
    </row>
    <row r="251" spans="16:19" x14ac:dyDescent="0.25">
      <c r="P251" s="35"/>
      <c r="Q251" s="35"/>
      <c r="R251" s="35"/>
      <c r="S251" s="35"/>
    </row>
    <row r="252" spans="16:19" x14ac:dyDescent="0.25">
      <c r="P252" s="35"/>
      <c r="Q252" s="35"/>
      <c r="R252" s="35"/>
      <c r="S252" s="35"/>
    </row>
    <row r="253" spans="16:19" x14ac:dyDescent="0.25">
      <c r="P253" s="35"/>
      <c r="Q253" s="35"/>
      <c r="R253" s="35"/>
      <c r="S253" s="35"/>
    </row>
    <row r="254" spans="16:19" ht="15.6" x14ac:dyDescent="0.3">
      <c r="P254" s="321"/>
      <c r="Q254" s="196"/>
      <c r="R254" s="196"/>
      <c r="S254" s="196"/>
    </row>
    <row r="255" spans="16:19" x14ac:dyDescent="0.25">
      <c r="P255" s="35"/>
      <c r="Q255" s="35"/>
      <c r="R255" s="35"/>
      <c r="S255" s="35"/>
    </row>
    <row r="256" spans="16:19" x14ac:dyDescent="0.25">
      <c r="P256" s="35"/>
      <c r="Q256" s="35"/>
      <c r="R256" s="35"/>
      <c r="S256" s="35"/>
    </row>
    <row r="257" spans="16:19" ht="15.6" x14ac:dyDescent="0.3">
      <c r="P257" s="321"/>
      <c r="Q257" s="196"/>
      <c r="R257" s="196"/>
      <c r="S257" s="196"/>
    </row>
    <row r="258" spans="16:19" x14ac:dyDescent="0.25">
      <c r="P258" s="35"/>
      <c r="Q258" s="35"/>
      <c r="R258" s="35"/>
      <c r="S258" s="35"/>
    </row>
    <row r="259" spans="16:19" x14ac:dyDescent="0.25">
      <c r="P259" s="35"/>
      <c r="Q259" s="35"/>
      <c r="R259" s="35"/>
      <c r="S259" s="35"/>
    </row>
    <row r="260" spans="16:19" x14ac:dyDescent="0.25">
      <c r="P260" s="35"/>
      <c r="Q260" s="35"/>
      <c r="R260" s="35"/>
      <c r="S260" s="35"/>
    </row>
    <row r="261" spans="16:19" x14ac:dyDescent="0.25">
      <c r="P261" s="35"/>
      <c r="Q261" s="35"/>
      <c r="R261" s="35"/>
      <c r="S261" s="35"/>
    </row>
    <row r="262" spans="16:19" ht="15.6" x14ac:dyDescent="0.3">
      <c r="P262" s="321"/>
      <c r="Q262" s="196"/>
      <c r="R262" s="196"/>
      <c r="S262" s="196"/>
    </row>
    <row r="263" spans="16:19" x14ac:dyDescent="0.25">
      <c r="P263" s="35"/>
      <c r="Q263" s="35"/>
      <c r="R263" s="35"/>
      <c r="S263" s="35"/>
    </row>
    <row r="264" spans="16:19" x14ac:dyDescent="0.25">
      <c r="P264" s="35"/>
      <c r="Q264" s="35"/>
      <c r="R264" s="35"/>
      <c r="S264" s="35"/>
    </row>
    <row r="265" spans="16:19" x14ac:dyDescent="0.25">
      <c r="P265" s="35"/>
      <c r="Q265" s="35"/>
      <c r="R265" s="35"/>
      <c r="S265" s="35"/>
    </row>
    <row r="266" spans="16:19" x14ac:dyDescent="0.25">
      <c r="P266" s="35"/>
      <c r="Q266" s="35"/>
      <c r="R266" s="35"/>
      <c r="S266" s="35"/>
    </row>
    <row r="267" spans="16:19" x14ac:dyDescent="0.25">
      <c r="P267" s="35"/>
      <c r="Q267" s="35"/>
      <c r="R267" s="35"/>
      <c r="S267" s="35"/>
    </row>
    <row r="268" spans="16:19" x14ac:dyDescent="0.25">
      <c r="P268" s="35"/>
      <c r="Q268" s="35"/>
      <c r="R268" s="35"/>
      <c r="S268" s="35"/>
    </row>
    <row r="269" spans="16:19" x14ac:dyDescent="0.25">
      <c r="P269" s="35"/>
      <c r="Q269" s="35"/>
      <c r="R269" s="35"/>
      <c r="S269" s="35"/>
    </row>
    <row r="270" spans="16:19" x14ac:dyDescent="0.25">
      <c r="P270" s="35"/>
      <c r="Q270" s="35"/>
      <c r="R270" s="35"/>
      <c r="S270" s="35"/>
    </row>
    <row r="271" spans="16:19" x14ac:dyDescent="0.25">
      <c r="P271" s="35"/>
      <c r="Q271" s="35"/>
      <c r="R271" s="35"/>
      <c r="S271" s="35"/>
    </row>
    <row r="272" spans="16:19" x14ac:dyDescent="0.25">
      <c r="P272" s="35"/>
      <c r="Q272" s="35"/>
      <c r="R272" s="35"/>
      <c r="S272" s="35"/>
    </row>
    <row r="273" spans="16:19" x14ac:dyDescent="0.25">
      <c r="P273" s="35"/>
      <c r="Q273" s="35"/>
      <c r="R273" s="35"/>
      <c r="S273" s="35"/>
    </row>
    <row r="274" spans="16:19" ht="15.6" x14ac:dyDescent="0.3">
      <c r="P274" s="321"/>
      <c r="Q274" s="196"/>
      <c r="R274" s="196"/>
      <c r="S274" s="196"/>
    </row>
    <row r="275" spans="16:19" x14ac:dyDescent="0.25">
      <c r="P275" s="35"/>
      <c r="Q275" s="35"/>
      <c r="R275" s="35"/>
      <c r="S275" s="35"/>
    </row>
    <row r="276" spans="16:19" x14ac:dyDescent="0.25">
      <c r="P276" s="35"/>
      <c r="Q276" s="35"/>
      <c r="R276" s="35"/>
      <c r="S276" s="35"/>
    </row>
    <row r="277" spans="16:19" x14ac:dyDescent="0.25">
      <c r="P277" s="35"/>
      <c r="Q277" s="35"/>
      <c r="R277" s="35"/>
      <c r="S277" s="35"/>
    </row>
    <row r="278" spans="16:19" x14ac:dyDescent="0.25">
      <c r="P278" s="35"/>
      <c r="Q278" s="35"/>
      <c r="R278" s="35"/>
      <c r="S278" s="35"/>
    </row>
    <row r="279" spans="16:19" x14ac:dyDescent="0.25">
      <c r="P279" s="35"/>
      <c r="Q279" s="35"/>
      <c r="R279" s="35"/>
      <c r="S279" s="35"/>
    </row>
    <row r="280" spans="16:19" x14ac:dyDescent="0.25">
      <c r="P280" s="35"/>
      <c r="Q280" s="35"/>
      <c r="R280" s="35"/>
      <c r="S280" s="35"/>
    </row>
    <row r="281" spans="16:19" x14ac:dyDescent="0.25">
      <c r="P281" s="35"/>
      <c r="Q281" s="35"/>
      <c r="R281" s="35"/>
      <c r="S281" s="35"/>
    </row>
    <row r="282" spans="16:19" x14ac:dyDescent="0.25">
      <c r="P282" s="35"/>
      <c r="Q282" s="35"/>
      <c r="R282" s="35"/>
      <c r="S282" s="35"/>
    </row>
    <row r="283" spans="16:19" x14ac:dyDescent="0.25">
      <c r="P283" s="35"/>
      <c r="Q283" s="35"/>
      <c r="R283" s="35"/>
      <c r="S283" s="35"/>
    </row>
    <row r="284" spans="16:19" x14ac:dyDescent="0.25">
      <c r="P284" s="35"/>
      <c r="Q284" s="35"/>
      <c r="R284" s="35"/>
      <c r="S284" s="35"/>
    </row>
    <row r="285" spans="16:19" x14ac:dyDescent="0.25">
      <c r="P285" s="35"/>
      <c r="Q285" s="35"/>
      <c r="R285" s="35"/>
      <c r="S285" s="35"/>
    </row>
    <row r="286" spans="16:19" x14ac:dyDescent="0.25">
      <c r="P286" s="35"/>
      <c r="Q286" s="247"/>
      <c r="R286" s="247"/>
      <c r="S286" s="247"/>
    </row>
    <row r="287" spans="16:19" x14ac:dyDescent="0.25">
      <c r="P287" s="35"/>
      <c r="Q287" s="35"/>
      <c r="R287" s="35"/>
      <c r="S287" s="35"/>
    </row>
    <row r="288" spans="16:19" x14ac:dyDescent="0.25">
      <c r="P288" s="35"/>
      <c r="Q288" s="35"/>
      <c r="R288" s="35"/>
      <c r="S288" s="35"/>
    </row>
    <row r="289" spans="16:19" x14ac:dyDescent="0.25">
      <c r="P289" s="35"/>
      <c r="Q289" s="35"/>
      <c r="R289" s="35"/>
      <c r="S289" s="35"/>
    </row>
    <row r="290" spans="16:19" x14ac:dyDescent="0.25">
      <c r="P290" s="35"/>
      <c r="Q290" s="35"/>
      <c r="R290" s="35"/>
      <c r="S290" s="35"/>
    </row>
    <row r="291" spans="16:19" x14ac:dyDescent="0.25">
      <c r="P291" s="35"/>
      <c r="Q291" s="35"/>
      <c r="R291" s="35"/>
      <c r="S291" s="35"/>
    </row>
    <row r="292" spans="16:19" x14ac:dyDescent="0.25">
      <c r="P292" s="35"/>
      <c r="Q292" s="35"/>
      <c r="R292" s="35"/>
      <c r="S292" s="35"/>
    </row>
    <row r="293" spans="16:19" x14ac:dyDescent="0.25">
      <c r="P293" s="35"/>
      <c r="Q293" s="35"/>
      <c r="R293" s="35"/>
      <c r="S293" s="35"/>
    </row>
    <row r="294" spans="16:19" x14ac:dyDescent="0.25">
      <c r="P294" s="35"/>
      <c r="Q294" s="35"/>
      <c r="R294" s="35"/>
      <c r="S294" s="35"/>
    </row>
    <row r="295" spans="16:19" x14ac:dyDescent="0.25">
      <c r="P295" s="35"/>
      <c r="Q295" s="35"/>
      <c r="R295" s="35"/>
      <c r="S295" s="35"/>
    </row>
    <row r="296" spans="16:19" x14ac:dyDescent="0.25">
      <c r="P296" s="35"/>
      <c r="Q296" s="247"/>
      <c r="R296" s="247"/>
      <c r="S296" s="247"/>
    </row>
    <row r="297" spans="16:19" x14ac:dyDescent="0.25">
      <c r="P297" s="35"/>
      <c r="Q297" s="35"/>
      <c r="R297" s="35"/>
      <c r="S297" s="35"/>
    </row>
    <row r="298" spans="16:19" x14ac:dyDescent="0.25">
      <c r="P298" s="35"/>
      <c r="Q298" s="35"/>
      <c r="R298" s="35"/>
      <c r="S298" s="35"/>
    </row>
    <row r="299" spans="16:19" x14ac:dyDescent="0.25">
      <c r="P299" s="35"/>
      <c r="Q299" s="247"/>
      <c r="R299" s="247"/>
      <c r="S299" s="247"/>
    </row>
    <row r="300" spans="16:19" x14ac:dyDescent="0.25">
      <c r="Q300" s="286"/>
      <c r="R300" s="286"/>
      <c r="S300" s="544"/>
    </row>
    <row r="313" spans="16:19" x14ac:dyDescent="0.25">
      <c r="P313" s="35"/>
      <c r="Q313" s="35"/>
      <c r="R313" s="35"/>
      <c r="S313" s="35"/>
    </row>
    <row r="314" spans="16:19" x14ac:dyDescent="0.25">
      <c r="P314" s="35"/>
      <c r="Q314" s="35"/>
      <c r="R314" s="35"/>
      <c r="S314" s="35"/>
    </row>
    <row r="315" spans="16:19" x14ac:dyDescent="0.25">
      <c r="P315" s="35"/>
      <c r="Q315" s="35"/>
      <c r="R315" s="35"/>
      <c r="S315" s="35"/>
    </row>
    <row r="316" spans="16:19" x14ac:dyDescent="0.25">
      <c r="P316" s="35"/>
      <c r="Q316" s="35"/>
      <c r="R316" s="35"/>
      <c r="S316" s="35"/>
    </row>
    <row r="317" spans="16:19" x14ac:dyDescent="0.25">
      <c r="P317" s="35"/>
      <c r="Q317" s="35"/>
      <c r="R317" s="35"/>
      <c r="S317" s="35"/>
    </row>
    <row r="318" spans="16:19" x14ac:dyDescent="0.25">
      <c r="P318" s="35"/>
      <c r="Q318" s="35"/>
      <c r="R318" s="35"/>
      <c r="S318" s="35"/>
    </row>
    <row r="319" spans="16:19" x14ac:dyDescent="0.25">
      <c r="P319" s="35"/>
      <c r="Q319" s="35"/>
      <c r="R319" s="35"/>
      <c r="S319" s="35"/>
    </row>
    <row r="320" spans="16:19" x14ac:dyDescent="0.25">
      <c r="P320" s="35"/>
      <c r="Q320" s="35"/>
      <c r="R320" s="35"/>
      <c r="S320" s="35"/>
    </row>
    <row r="321" spans="16:19" x14ac:dyDescent="0.25">
      <c r="P321" s="35"/>
      <c r="Q321" s="35"/>
      <c r="R321" s="35"/>
      <c r="S321" s="35"/>
    </row>
    <row r="322" spans="16:19" x14ac:dyDescent="0.25">
      <c r="P322" s="35"/>
      <c r="Q322" s="35"/>
      <c r="R322" s="35"/>
      <c r="S322" s="35"/>
    </row>
  </sheetData>
  <dataValidations count="1">
    <dataValidation allowBlank="1" showErrorMessage="1" sqref="I2:J2"/>
  </dataValidations>
  <pageMargins left="0.25" right="0.25" top="0.25" bottom="0.25" header="0.3" footer="0.3"/>
  <pageSetup paperSize="3" scale="28" fitToHeight="0" orientation="landscape" r:id="rId1"/>
  <ignoredErrors>
    <ignoredError sqref="I24:L24 H149 J105 H22:H32 H39 H141:H147 H126 H94:H105 H87:H89 H151:H164 H168:H199 H216:H235 H70:H72 H75:H85 H41:H43 H8:H20 H111:H117 H120 H123 H109 H128:H139 H201:H214 M24:O24" numberStoredAsText="1"/>
    <ignoredError sqref="P6:R6 P17:P18 P19:S19 P25:Q31 P32:R34 P35:S36 P37:R42 P71:R72 P75:R75 P76:S76 P81:R85 P91 P94:R97 Q98:R98 P111:R115 R116 P126:R126 P128:R129 P130:S130 P131:R131 P132:Q132 P141:R147 P149 P151:R155 P156:S156 P157:R160 P163:R164 P166:Q166 R166:R167 P167 P168:R168 P170:P180 P183:R184 Q185 P186:P187 R186:R187 P188:R188 P191:R194 P204:R213 P216:R223 P225:R228 P230:R235 P15:S16 P14:R14 P22:Q23 S22:S23 S25:S31 R22:R31 P70:S70 P7:S13 T6 Q17:S17 P87:R90 T91 P99:R105 T145 T37:T38 R170:R180 Q189:Q190 P196:R202 AF70:AF72 P73:S73 AF75:AF77 P78:R79 AF22:AF43 AF7:AF20 AF141:AF170 AF79:AF92 AF94:AF99 AF101:AF106 AF216:AF235 AF111:AF117 P117:R117 AF120 P120:R120 AF123 P123:R123 AF109 P109:R109 P133:R139 AF126:AF139 AF172:AF214" unlockedFormula="1"/>
    <ignoredError sqref="P24:Q24 S24" numberStoredAsText="1" unlockedFormula="1"/>
    <ignoredError sqref="P98 P116:Q116 R132 Q167 P185 P189 R190 P190 R189" formula="1"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W43"/>
  <sheetViews>
    <sheetView zoomScaleNormal="100" workbookViewId="0">
      <pane xSplit="6" ySplit="2" topLeftCell="G3" activePane="bottomRight" state="frozen"/>
      <selection pane="topRight" activeCell="G1" sqref="G1"/>
      <selection pane="bottomLeft" activeCell="A3" sqref="A3"/>
      <selection pane="bottomRight" activeCell="M1" sqref="M1:M1048576"/>
    </sheetView>
  </sheetViews>
  <sheetFormatPr defaultColWidth="7" defaultRowHeight="13.2" x14ac:dyDescent="0.25"/>
  <cols>
    <col min="1" max="2" width="7" style="22"/>
    <col min="3" max="3" width="16.6640625" style="22" bestFit="1" customWidth="1"/>
    <col min="4" max="4" width="7" style="22"/>
    <col min="5" max="5" width="47.6640625" style="22" bestFit="1" customWidth="1"/>
    <col min="6" max="6" width="19" style="22" bestFit="1" customWidth="1"/>
    <col min="7" max="7" width="17.6640625" style="22" bestFit="1" customWidth="1"/>
    <col min="8" max="8" width="14.33203125" style="22" bestFit="1" customWidth="1"/>
    <col min="9" max="9" width="6.33203125" style="22" bestFit="1" customWidth="1"/>
    <col min="10" max="10" width="6.5546875" style="22" bestFit="1" customWidth="1"/>
    <col min="11" max="11" width="12.33203125" style="22" bestFit="1" customWidth="1"/>
    <col min="12" max="12" width="8.5546875" style="22" bestFit="1" customWidth="1"/>
    <col min="13" max="13" width="8.6640625" style="22" bestFit="1" customWidth="1"/>
    <col min="14" max="14" width="6.33203125" style="22" bestFit="1" customWidth="1"/>
    <col min="15" max="15" width="7.5546875" style="130" bestFit="1" customWidth="1"/>
    <col min="16" max="16" width="8.6640625" style="177" bestFit="1" customWidth="1"/>
    <col min="17" max="17" width="9" style="177" bestFit="1" customWidth="1"/>
    <col min="18" max="18" width="8.44140625" style="177" bestFit="1" customWidth="1"/>
    <col min="19" max="19" width="8.5546875" style="227" bestFit="1" customWidth="1"/>
    <col min="20" max="20" width="7.6640625" style="39" bestFit="1" customWidth="1"/>
    <col min="21" max="21" width="8" style="22" bestFit="1" customWidth="1"/>
    <col min="22" max="22" width="7.5546875" style="22" bestFit="1" customWidth="1"/>
    <col min="23" max="23" width="7.5546875" style="130" bestFit="1" customWidth="1"/>
    <col min="24" max="24" width="6.44140625" style="22" bestFit="1" customWidth="1"/>
    <col min="25" max="25" width="6.5546875" style="22" bestFit="1" customWidth="1"/>
    <col min="26" max="26" width="5.44140625" style="22" bestFit="1" customWidth="1"/>
    <col min="27" max="27" width="6" style="130" bestFit="1" customWidth="1"/>
    <col min="28" max="31" width="6.5546875" style="22" bestFit="1" customWidth="1"/>
    <col min="32" max="32" width="7" style="22"/>
    <col min="33" max="43" width="12.6640625" style="22" customWidth="1"/>
    <col min="44" max="16384" width="7" style="22"/>
  </cols>
  <sheetData>
    <row r="1" spans="1:335" s="323" customFormat="1" ht="60" customHeight="1" thickBot="1" x14ac:dyDescent="0.25">
      <c r="A1" s="496"/>
      <c r="B1" s="497"/>
      <c r="C1" s="498"/>
      <c r="D1" s="498"/>
      <c r="E1" s="496"/>
      <c r="F1" s="496"/>
      <c r="G1" s="496"/>
      <c r="H1" s="499"/>
      <c r="I1" s="499"/>
      <c r="J1" s="499"/>
      <c r="K1" s="499"/>
      <c r="L1" s="500"/>
      <c r="M1" s="501"/>
      <c r="N1" s="502"/>
      <c r="O1" s="502"/>
      <c r="P1" s="498"/>
      <c r="Q1" s="498"/>
      <c r="R1" s="498"/>
      <c r="S1" s="498"/>
      <c r="T1" s="498"/>
      <c r="U1" s="498"/>
      <c r="V1" s="498"/>
      <c r="W1" s="498"/>
      <c r="X1" s="498"/>
      <c r="Y1" s="498"/>
      <c r="Z1" s="498"/>
      <c r="AA1" s="498"/>
      <c r="AB1" s="498"/>
      <c r="AC1" s="498"/>
      <c r="AD1" s="498"/>
      <c r="AE1" s="498"/>
      <c r="AF1" s="498"/>
      <c r="AG1" s="496"/>
      <c r="AH1" s="496"/>
      <c r="AI1" s="496"/>
      <c r="AJ1" s="496"/>
      <c r="AK1" s="496"/>
      <c r="AL1" s="496"/>
      <c r="AM1" s="496"/>
      <c r="AN1" s="496"/>
      <c r="AO1" s="496"/>
      <c r="AP1" s="496"/>
      <c r="AQ1" s="496"/>
    </row>
    <row r="2" spans="1:335" s="16" customFormat="1" ht="52.2" thickBot="1" x14ac:dyDescent="0.3">
      <c r="A2" s="388" t="s">
        <v>19</v>
      </c>
      <c r="B2" s="386" t="s">
        <v>1994</v>
      </c>
      <c r="C2" s="386" t="s">
        <v>26</v>
      </c>
      <c r="D2" s="386" t="s">
        <v>11</v>
      </c>
      <c r="E2" s="386" t="s">
        <v>12</v>
      </c>
      <c r="F2" s="386" t="s">
        <v>13</v>
      </c>
      <c r="G2" s="386" t="s">
        <v>1484</v>
      </c>
      <c r="H2" s="446" t="s">
        <v>115</v>
      </c>
      <c r="I2" s="378" t="s">
        <v>1504</v>
      </c>
      <c r="J2" s="378" t="s">
        <v>1503</v>
      </c>
      <c r="K2" s="386" t="s">
        <v>67</v>
      </c>
      <c r="L2" s="386" t="s">
        <v>324</v>
      </c>
      <c r="M2" s="386" t="s">
        <v>20</v>
      </c>
      <c r="N2" s="386" t="s">
        <v>6</v>
      </c>
      <c r="O2" s="387" t="s">
        <v>7</v>
      </c>
      <c r="P2" s="504" t="s">
        <v>1481</v>
      </c>
      <c r="Q2" s="503" t="s">
        <v>1730</v>
      </c>
      <c r="R2" s="503" t="s">
        <v>1482</v>
      </c>
      <c r="S2" s="505" t="s">
        <v>1483</v>
      </c>
      <c r="T2" s="504" t="s">
        <v>1434</v>
      </c>
      <c r="U2" s="386" t="s">
        <v>1731</v>
      </c>
      <c r="V2" s="386" t="s">
        <v>1435</v>
      </c>
      <c r="W2" s="387" t="s">
        <v>1436</v>
      </c>
      <c r="X2" s="388" t="s">
        <v>1437</v>
      </c>
      <c r="Y2" s="386" t="s">
        <v>1732</v>
      </c>
      <c r="Z2" s="386" t="s">
        <v>1438</v>
      </c>
      <c r="AA2" s="387" t="s">
        <v>1439</v>
      </c>
      <c r="AB2" s="388" t="s">
        <v>1440</v>
      </c>
      <c r="AC2" s="386" t="s">
        <v>1441</v>
      </c>
      <c r="AD2" s="386" t="s">
        <v>1442</v>
      </c>
      <c r="AE2" s="387" t="s">
        <v>1443</v>
      </c>
      <c r="AF2" s="388" t="s">
        <v>1453</v>
      </c>
      <c r="AG2" s="389" t="s">
        <v>21</v>
      </c>
      <c r="AH2" s="389" t="s">
        <v>22</v>
      </c>
      <c r="AI2" s="389" t="s">
        <v>23</v>
      </c>
      <c r="AJ2" s="389" t="s">
        <v>24</v>
      </c>
      <c r="AK2" s="389" t="s">
        <v>25</v>
      </c>
      <c r="AL2" s="383" t="s">
        <v>1103</v>
      </c>
      <c r="AM2" s="383" t="s">
        <v>1104</v>
      </c>
      <c r="AN2" s="383" t="s">
        <v>1105</v>
      </c>
      <c r="AO2" s="390" t="s">
        <v>27</v>
      </c>
      <c r="AP2" s="390" t="s">
        <v>28</v>
      </c>
      <c r="AQ2" s="393" t="s">
        <v>29</v>
      </c>
      <c r="AR2" s="323"/>
      <c r="AS2" s="323"/>
      <c r="AT2" s="323"/>
    </row>
    <row r="3" spans="1:335" s="16" customFormat="1" ht="15.6" x14ac:dyDescent="0.3">
      <c r="A3" s="489" t="s">
        <v>2038</v>
      </c>
      <c r="B3" s="489"/>
      <c r="C3" s="489"/>
      <c r="D3" s="24"/>
      <c r="E3" s="22"/>
      <c r="H3" s="31"/>
      <c r="I3" s="31"/>
      <c r="J3" s="31"/>
      <c r="K3" s="31"/>
      <c r="L3" s="300"/>
      <c r="M3" s="6"/>
      <c r="N3" s="19"/>
      <c r="O3" s="77"/>
      <c r="P3" s="35"/>
      <c r="Q3" s="35"/>
      <c r="R3" s="35"/>
      <c r="S3" s="45"/>
      <c r="T3" s="17"/>
      <c r="U3" s="17"/>
      <c r="V3" s="17"/>
      <c r="W3" s="45"/>
      <c r="X3" s="17"/>
      <c r="Y3" s="17"/>
      <c r="Z3" s="17"/>
      <c r="AA3" s="45"/>
      <c r="AB3" s="44"/>
      <c r="AC3" s="17"/>
      <c r="AD3" s="17"/>
      <c r="AE3" s="45"/>
      <c r="AF3" s="153"/>
      <c r="AG3" s="161"/>
      <c r="AH3" s="161"/>
      <c r="AI3" s="161"/>
      <c r="AJ3" s="161"/>
      <c r="AK3" s="161"/>
      <c r="AL3" s="161"/>
      <c r="AM3" s="48"/>
      <c r="AN3" s="159"/>
      <c r="AO3" s="48"/>
      <c r="AP3" s="48"/>
      <c r="AQ3" s="48"/>
    </row>
    <row r="4" spans="1:335" s="304" customFormat="1" ht="13.8" x14ac:dyDescent="0.25">
      <c r="A4" s="20" t="s">
        <v>228</v>
      </c>
      <c r="B4" s="141"/>
      <c r="C4" s="20" t="s">
        <v>250</v>
      </c>
      <c r="D4" s="35"/>
      <c r="E4" s="61" t="s">
        <v>2042</v>
      </c>
      <c r="F4" s="20" t="s">
        <v>83</v>
      </c>
      <c r="G4" s="20" t="s">
        <v>1518</v>
      </c>
      <c r="H4" s="62" t="s">
        <v>232</v>
      </c>
      <c r="I4" s="38" t="s">
        <v>66</v>
      </c>
      <c r="J4" s="38" t="s">
        <v>66</v>
      </c>
      <c r="K4" s="63" t="s">
        <v>2043</v>
      </c>
      <c r="L4" s="38" t="s">
        <v>330</v>
      </c>
      <c r="M4" s="13">
        <v>7.99</v>
      </c>
      <c r="N4" s="37">
        <v>1</v>
      </c>
      <c r="O4" s="228">
        <v>140</v>
      </c>
      <c r="P4" s="35">
        <f>CONVERT(170,"g","lbm")</f>
        <v>0.37478584571429185</v>
      </c>
      <c r="Q4" s="35">
        <v>4.0674999999999999</v>
      </c>
      <c r="R4" s="35">
        <v>1.25</v>
      </c>
      <c r="S4" s="72">
        <v>3.5</v>
      </c>
      <c r="T4" s="35">
        <f>CONVERT(190,"g","lbm")</f>
        <v>0.41887829815126737</v>
      </c>
      <c r="U4" s="35">
        <v>4.125</v>
      </c>
      <c r="V4" s="35">
        <v>1.5</v>
      </c>
      <c r="W4" s="72">
        <v>4.5</v>
      </c>
      <c r="X4" s="93" t="s">
        <v>66</v>
      </c>
      <c r="Y4" s="93" t="s">
        <v>66</v>
      </c>
      <c r="Z4" s="93" t="s">
        <v>66</v>
      </c>
      <c r="AA4" s="291" t="s">
        <v>66</v>
      </c>
      <c r="AB4" s="35">
        <v>61</v>
      </c>
      <c r="AC4" s="35">
        <v>21</v>
      </c>
      <c r="AD4" s="35">
        <v>13.75</v>
      </c>
      <c r="AE4" s="72">
        <v>11.25</v>
      </c>
      <c r="AF4" s="35">
        <f>AC4*AD4*AE4/(12^3)</f>
        <v>1.8798828125</v>
      </c>
      <c r="AG4" s="61" t="s">
        <v>2076</v>
      </c>
      <c r="AH4" s="61" t="s">
        <v>2077</v>
      </c>
      <c r="AI4" s="61" t="s">
        <v>2082</v>
      </c>
      <c r="AJ4" s="61" t="s">
        <v>2079</v>
      </c>
      <c r="AK4" s="61" t="s">
        <v>2080</v>
      </c>
      <c r="AL4" s="61" t="s">
        <v>2078</v>
      </c>
      <c r="AM4" s="61" t="s">
        <v>2081</v>
      </c>
      <c r="AN4" s="61" t="s">
        <v>2083</v>
      </c>
      <c r="AO4" s="61" t="s">
        <v>2092</v>
      </c>
      <c r="AP4" s="11" t="s">
        <v>2084</v>
      </c>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c r="IW4" s="20"/>
      <c r="IX4" s="20"/>
      <c r="IY4" s="20"/>
      <c r="IZ4" s="20"/>
      <c r="JA4" s="20"/>
      <c r="JB4" s="20"/>
      <c r="JC4" s="20"/>
      <c r="JD4" s="20"/>
      <c r="JE4" s="20"/>
      <c r="JF4" s="20"/>
      <c r="JG4" s="20"/>
      <c r="JH4" s="20"/>
      <c r="JI4" s="20"/>
      <c r="JJ4" s="20"/>
      <c r="JK4" s="20"/>
      <c r="JL4" s="20"/>
      <c r="JM4" s="20"/>
      <c r="JN4" s="20"/>
      <c r="JO4" s="20"/>
      <c r="JP4" s="20"/>
      <c r="JQ4" s="20"/>
      <c r="JR4" s="20"/>
      <c r="JS4" s="20"/>
      <c r="JT4" s="20"/>
      <c r="JU4" s="20"/>
      <c r="JV4" s="20"/>
      <c r="JW4" s="20"/>
      <c r="JX4" s="20"/>
      <c r="JY4" s="20"/>
      <c r="JZ4" s="20"/>
      <c r="KA4" s="20"/>
      <c r="KB4" s="20"/>
      <c r="KC4" s="20"/>
      <c r="KD4" s="20"/>
      <c r="KE4" s="20"/>
      <c r="KF4" s="20"/>
      <c r="KG4" s="20"/>
      <c r="KH4" s="20"/>
      <c r="KI4" s="20"/>
      <c r="KJ4" s="20"/>
      <c r="KK4" s="20"/>
      <c r="KL4" s="20"/>
      <c r="KM4" s="20"/>
      <c r="KN4" s="20"/>
      <c r="KO4" s="20"/>
      <c r="KP4" s="20"/>
      <c r="KQ4" s="20"/>
      <c r="KR4" s="20"/>
      <c r="KS4" s="20"/>
      <c r="KT4" s="20"/>
      <c r="KU4" s="20"/>
      <c r="KV4" s="20"/>
      <c r="KW4" s="20"/>
      <c r="KX4" s="20"/>
      <c r="KY4" s="20"/>
      <c r="KZ4" s="20"/>
      <c r="LA4" s="20"/>
      <c r="LB4" s="20"/>
      <c r="LC4" s="20"/>
      <c r="LD4" s="20"/>
      <c r="LE4" s="20"/>
      <c r="LF4" s="20"/>
      <c r="LG4" s="20"/>
      <c r="LH4" s="20"/>
      <c r="LI4" s="20"/>
      <c r="LJ4" s="20"/>
      <c r="LK4" s="20"/>
      <c r="LL4" s="20"/>
      <c r="LM4" s="20"/>
      <c r="LN4" s="20"/>
      <c r="LO4" s="20"/>
      <c r="LP4" s="20"/>
      <c r="LQ4" s="20"/>
      <c r="LR4" s="20"/>
      <c r="LS4" s="20"/>
      <c r="LT4" s="20"/>
      <c r="LU4" s="20"/>
      <c r="LV4" s="20"/>
      <c r="LW4" s="20"/>
    </row>
    <row r="5" spans="1:335" s="304" customFormat="1" ht="13.8" x14ac:dyDescent="0.25">
      <c r="A5" s="20" t="s">
        <v>228</v>
      </c>
      <c r="B5" s="141"/>
      <c r="C5" s="20" t="s">
        <v>251</v>
      </c>
      <c r="D5" s="35"/>
      <c r="E5" s="61" t="s">
        <v>2044</v>
      </c>
      <c r="F5" s="20" t="s">
        <v>83</v>
      </c>
      <c r="G5" s="20" t="s">
        <v>1517</v>
      </c>
      <c r="H5" s="62" t="s">
        <v>233</v>
      </c>
      <c r="I5" s="38" t="s">
        <v>66</v>
      </c>
      <c r="J5" s="38" t="s">
        <v>66</v>
      </c>
      <c r="K5" s="63" t="s">
        <v>2043</v>
      </c>
      <c r="L5" s="38" t="s">
        <v>330</v>
      </c>
      <c r="M5" s="13">
        <v>5.99</v>
      </c>
      <c r="N5" s="37">
        <v>36</v>
      </c>
      <c r="O5" s="228">
        <v>288</v>
      </c>
      <c r="P5" s="135">
        <f>CONVERT(0,"g","lbm")</f>
        <v>0</v>
      </c>
      <c r="Q5" s="135">
        <f t="shared" ref="Q5:S6" si="0">CONVERT(0,"mm","in")</f>
        <v>0</v>
      </c>
      <c r="R5" s="135">
        <f t="shared" si="0"/>
        <v>0</v>
      </c>
      <c r="S5" s="136">
        <f t="shared" si="0"/>
        <v>0</v>
      </c>
      <c r="T5" s="35">
        <f>CONVERT(82,"g","lbm")</f>
        <v>0.1807790549915996</v>
      </c>
      <c r="U5" s="35">
        <v>3.1</v>
      </c>
      <c r="V5" s="35">
        <v>0.6</v>
      </c>
      <c r="W5" s="72">
        <v>2.75</v>
      </c>
      <c r="X5" s="35">
        <f>CONVERT(3190,"g","lbm")</f>
        <v>7.0327461636975945</v>
      </c>
      <c r="Y5" s="93">
        <v>9.5</v>
      </c>
      <c r="Z5" s="93">
        <v>5.75</v>
      </c>
      <c r="AA5" s="291">
        <v>4</v>
      </c>
      <c r="AB5" s="35">
        <v>60</v>
      </c>
      <c r="AC5" s="35">
        <v>21</v>
      </c>
      <c r="AD5" s="35">
        <v>13.75</v>
      </c>
      <c r="AE5" s="72">
        <v>11.25</v>
      </c>
      <c r="AF5" s="17">
        <f>AC5*AD5*AE5/(12^3)</f>
        <v>1.8798828125</v>
      </c>
      <c r="AG5" s="61" t="s">
        <v>2076</v>
      </c>
      <c r="AH5" s="22" t="s">
        <v>2085</v>
      </c>
      <c r="AI5" s="61" t="s">
        <v>2077</v>
      </c>
      <c r="AJ5" s="61" t="s">
        <v>2082</v>
      </c>
      <c r="AK5" s="11" t="s">
        <v>2086</v>
      </c>
      <c r="AL5" s="11" t="s">
        <v>2087</v>
      </c>
      <c r="AM5" s="61" t="s">
        <v>2081</v>
      </c>
      <c r="AN5" s="11" t="s">
        <v>2088</v>
      </c>
      <c r="AO5" s="61" t="s">
        <v>2093</v>
      </c>
      <c r="AP5" s="11" t="s">
        <v>2084</v>
      </c>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c r="IZ5" s="20"/>
      <c r="JA5" s="20"/>
      <c r="JB5" s="20"/>
      <c r="JC5" s="20"/>
      <c r="JD5" s="20"/>
      <c r="JE5" s="20"/>
      <c r="JF5" s="20"/>
      <c r="JG5" s="20"/>
      <c r="JH5" s="20"/>
      <c r="JI5" s="20"/>
      <c r="JJ5" s="20"/>
      <c r="JK5" s="20"/>
      <c r="JL5" s="20"/>
      <c r="JM5" s="20"/>
      <c r="JN5" s="20"/>
      <c r="JO5" s="20"/>
      <c r="JP5" s="20"/>
      <c r="JQ5" s="20"/>
      <c r="JR5" s="20"/>
      <c r="JS5" s="20"/>
      <c r="JT5" s="20"/>
      <c r="JU5" s="20"/>
      <c r="JV5" s="20"/>
      <c r="JW5" s="20"/>
      <c r="JX5" s="20"/>
      <c r="JY5" s="20"/>
      <c r="JZ5" s="20"/>
      <c r="KA5" s="20"/>
      <c r="KB5" s="20"/>
      <c r="KC5" s="20"/>
      <c r="KD5" s="20"/>
      <c r="KE5" s="20"/>
      <c r="KF5" s="20"/>
      <c r="KG5" s="20"/>
      <c r="KH5" s="20"/>
      <c r="KI5" s="20"/>
      <c r="KJ5" s="20"/>
      <c r="KK5" s="20"/>
      <c r="KL5" s="20"/>
      <c r="KM5" s="20"/>
      <c r="KN5" s="20"/>
      <c r="KO5" s="20"/>
      <c r="KP5" s="20"/>
      <c r="KQ5" s="20"/>
      <c r="KR5" s="20"/>
      <c r="KS5" s="20"/>
      <c r="KT5" s="20"/>
      <c r="KU5" s="20"/>
      <c r="KV5" s="20"/>
      <c r="KW5" s="20"/>
      <c r="KX5" s="20"/>
      <c r="KY5" s="20"/>
      <c r="KZ5" s="20"/>
      <c r="LA5" s="20"/>
      <c r="LB5" s="20"/>
      <c r="LC5" s="20"/>
      <c r="LD5" s="20"/>
      <c r="LE5" s="20"/>
      <c r="LF5" s="20"/>
      <c r="LG5" s="20"/>
      <c r="LH5" s="20"/>
      <c r="LI5" s="20"/>
      <c r="LJ5" s="20"/>
      <c r="LK5" s="20"/>
      <c r="LL5" s="20"/>
      <c r="LM5" s="20"/>
      <c r="LN5" s="20"/>
      <c r="LO5" s="20"/>
      <c r="LP5" s="20"/>
      <c r="LQ5" s="20"/>
      <c r="LR5" s="20"/>
      <c r="LS5" s="20"/>
      <c r="LT5" s="20"/>
      <c r="LU5" s="20"/>
      <c r="LV5" s="20"/>
      <c r="LW5" s="20"/>
    </row>
    <row r="6" spans="1:335" s="304" customFormat="1" ht="13.8" x14ac:dyDescent="0.25">
      <c r="A6" s="20" t="s">
        <v>228</v>
      </c>
      <c r="B6" s="141"/>
      <c r="C6" s="20" t="s">
        <v>2037</v>
      </c>
      <c r="D6" s="35"/>
      <c r="E6" s="61" t="s">
        <v>2045</v>
      </c>
      <c r="F6" s="20" t="s">
        <v>83</v>
      </c>
      <c r="G6" s="290" t="s">
        <v>1517</v>
      </c>
      <c r="H6" s="62" t="s">
        <v>2046</v>
      </c>
      <c r="I6" s="293"/>
      <c r="J6" s="293"/>
      <c r="K6" s="63" t="s">
        <v>2043</v>
      </c>
      <c r="L6" s="38" t="s">
        <v>330</v>
      </c>
      <c r="M6" s="13">
        <v>5.99</v>
      </c>
      <c r="N6" s="137">
        <v>30</v>
      </c>
      <c r="O6" s="229">
        <v>300</v>
      </c>
      <c r="P6" s="135">
        <f>CONVERT(0,"g","lbm")</f>
        <v>0</v>
      </c>
      <c r="Q6" s="135">
        <f t="shared" si="0"/>
        <v>0</v>
      </c>
      <c r="R6" s="135">
        <f t="shared" si="0"/>
        <v>0</v>
      </c>
      <c r="S6" s="136">
        <f t="shared" si="0"/>
        <v>0</v>
      </c>
      <c r="T6" s="135">
        <f>CONVERT(88,"g","lbm")</f>
        <v>0.19400679072269225</v>
      </c>
      <c r="U6" s="135">
        <f>CONVERT(80,"mm","in")</f>
        <v>3.1496062992125986</v>
      </c>
      <c r="V6" s="135">
        <f>CONVERT(70,"mm","in")</f>
        <v>2.7559055118110236</v>
      </c>
      <c r="W6" s="136">
        <f>CONVERT(17,"mm","in")</f>
        <v>0.6692913385826772</v>
      </c>
      <c r="X6" s="135">
        <f>CONVERT(0,"g","lbm")</f>
        <v>0</v>
      </c>
      <c r="Y6" s="135">
        <f>CONVERT(0,"mm","in")</f>
        <v>0</v>
      </c>
      <c r="Z6" s="135">
        <f>CONVERT(0,"mm","in")</f>
        <v>0</v>
      </c>
      <c r="AA6" s="136">
        <f>CONVERT(0,"mm","in")</f>
        <v>0</v>
      </c>
      <c r="AB6" s="135">
        <f>CONVERT(28,"kg","lbm")</f>
        <v>61.729433411765719</v>
      </c>
      <c r="AC6" s="135">
        <f>CONVERT(53,"cm","in")</f>
        <v>20.866141732283463</v>
      </c>
      <c r="AD6" s="135">
        <f>CONVERT(35,"cm","in")</f>
        <v>13.779527559055119</v>
      </c>
      <c r="AE6" s="136">
        <f>CONVERT(28.5,"cm","in")</f>
        <v>11.220472440944881</v>
      </c>
      <c r="AF6" s="17">
        <f>AC6*AD6*AE6/(12^3)</f>
        <v>1.866998142898298</v>
      </c>
      <c r="AG6" s="61" t="s">
        <v>2076</v>
      </c>
      <c r="AH6" s="178" t="s">
        <v>2085</v>
      </c>
      <c r="AI6" s="61" t="s">
        <v>2077</v>
      </c>
      <c r="AJ6" s="61" t="s">
        <v>2082</v>
      </c>
      <c r="AK6" s="61" t="s">
        <v>2089</v>
      </c>
      <c r="AL6" s="61" t="s">
        <v>2090</v>
      </c>
      <c r="AM6" s="61" t="s">
        <v>2081</v>
      </c>
      <c r="AN6" s="11" t="s">
        <v>2091</v>
      </c>
      <c r="AO6" s="488" t="s">
        <v>2094</v>
      </c>
      <c r="AP6" s="11" t="s">
        <v>2084</v>
      </c>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c r="IW6" s="20"/>
      <c r="IX6" s="20"/>
      <c r="IY6" s="20"/>
      <c r="IZ6" s="20"/>
      <c r="JA6" s="20"/>
      <c r="JB6" s="20"/>
      <c r="JC6" s="20"/>
      <c r="JD6" s="20"/>
      <c r="JE6" s="20"/>
      <c r="JF6" s="20"/>
      <c r="JG6" s="20"/>
      <c r="JH6" s="20"/>
      <c r="JI6" s="20"/>
      <c r="JJ6" s="20"/>
      <c r="JK6" s="20"/>
      <c r="JL6" s="20"/>
      <c r="JM6" s="20"/>
      <c r="JN6" s="20"/>
      <c r="JO6" s="20"/>
      <c r="JP6" s="20"/>
      <c r="JQ6" s="20"/>
      <c r="JR6" s="20"/>
      <c r="JS6" s="20"/>
      <c r="JT6" s="20"/>
      <c r="JU6" s="20"/>
      <c r="JV6" s="20"/>
      <c r="JW6" s="20"/>
      <c r="JX6" s="20"/>
      <c r="JY6" s="20"/>
      <c r="JZ6" s="20"/>
      <c r="KA6" s="20"/>
      <c r="KB6" s="20"/>
      <c r="KC6" s="20"/>
      <c r="KD6" s="20"/>
      <c r="KE6" s="20"/>
      <c r="KF6" s="20"/>
      <c r="KG6" s="20"/>
      <c r="KH6" s="20"/>
      <c r="KI6" s="20"/>
      <c r="KJ6" s="20"/>
      <c r="KK6" s="20"/>
      <c r="KL6" s="20"/>
      <c r="KM6" s="20"/>
      <c r="KN6" s="20"/>
      <c r="KO6" s="20"/>
      <c r="KP6" s="20"/>
      <c r="KQ6" s="20"/>
      <c r="KR6" s="20"/>
      <c r="KS6" s="20"/>
      <c r="KT6" s="20"/>
      <c r="KU6" s="20"/>
      <c r="KV6" s="20"/>
      <c r="KW6" s="20"/>
      <c r="KX6" s="20"/>
      <c r="KY6" s="20"/>
      <c r="KZ6" s="20"/>
      <c r="LA6" s="20"/>
      <c r="LB6" s="20"/>
      <c r="LC6" s="20"/>
      <c r="LD6" s="20"/>
      <c r="LE6" s="20"/>
      <c r="LF6" s="20"/>
      <c r="LG6" s="20"/>
      <c r="LH6" s="20"/>
      <c r="LI6" s="20"/>
      <c r="LJ6" s="20"/>
      <c r="LK6" s="20"/>
      <c r="LL6" s="20"/>
      <c r="LM6" s="20"/>
      <c r="LN6" s="20"/>
      <c r="LO6" s="20"/>
      <c r="LP6" s="20"/>
      <c r="LQ6" s="20"/>
      <c r="LR6" s="20"/>
      <c r="LS6" s="20"/>
      <c r="LT6" s="20"/>
      <c r="LU6" s="20"/>
      <c r="LV6" s="20"/>
      <c r="LW6" s="20"/>
    </row>
    <row r="7" spans="1:335" s="16" customFormat="1" ht="15.6" x14ac:dyDescent="0.3">
      <c r="A7" s="489" t="s">
        <v>2039</v>
      </c>
      <c r="B7" s="489"/>
      <c r="C7" s="489"/>
      <c r="D7" s="24"/>
      <c r="E7" s="22"/>
      <c r="H7" s="31"/>
      <c r="I7" s="31"/>
      <c r="J7" s="31"/>
      <c r="K7" s="31"/>
      <c r="L7" s="300"/>
      <c r="M7" s="6"/>
      <c r="N7" s="37"/>
      <c r="O7" s="228"/>
      <c r="P7" s="35"/>
      <c r="Q7" s="35"/>
      <c r="R7" s="35"/>
      <c r="S7" s="45"/>
      <c r="T7" s="17"/>
      <c r="U7" s="17"/>
      <c r="V7" s="17"/>
      <c r="W7" s="45"/>
      <c r="X7" s="17"/>
      <c r="Y7" s="17"/>
      <c r="Z7" s="17"/>
      <c r="AA7" s="45"/>
      <c r="AB7" s="44"/>
      <c r="AC7" s="17"/>
      <c r="AD7" s="17"/>
      <c r="AE7" s="45"/>
      <c r="AF7" s="153"/>
      <c r="AG7" s="161"/>
      <c r="AH7" s="161"/>
      <c r="AI7" s="161"/>
      <c r="AJ7" s="161"/>
      <c r="AK7" s="161"/>
      <c r="AL7" s="161"/>
      <c r="AM7" s="48"/>
      <c r="AN7" s="159"/>
      <c r="AO7" s="48"/>
      <c r="AP7" s="48"/>
      <c r="AQ7" s="48"/>
    </row>
    <row r="8" spans="1:335" s="16" customFormat="1" x14ac:dyDescent="0.25">
      <c r="A8" s="20" t="s">
        <v>228</v>
      </c>
      <c r="B8" s="141"/>
      <c r="C8" s="20" t="s">
        <v>249</v>
      </c>
      <c r="D8" s="35"/>
      <c r="E8" s="61" t="s">
        <v>2049</v>
      </c>
      <c r="F8" s="20" t="s">
        <v>1638</v>
      </c>
      <c r="G8" s="20" t="s">
        <v>1528</v>
      </c>
      <c r="H8" s="62" t="s">
        <v>231</v>
      </c>
      <c r="I8" s="38" t="s">
        <v>66</v>
      </c>
      <c r="J8" s="38" t="s">
        <v>66</v>
      </c>
      <c r="K8" s="63" t="s">
        <v>240</v>
      </c>
      <c r="L8" s="38" t="s">
        <v>330</v>
      </c>
      <c r="M8" s="13">
        <v>5.99</v>
      </c>
      <c r="N8" s="37">
        <v>1</v>
      </c>
      <c r="O8" s="228" t="s">
        <v>66</v>
      </c>
      <c r="P8" s="35">
        <f>2.6/16</f>
        <v>0.16250000000000001</v>
      </c>
      <c r="Q8" s="35">
        <v>4.5</v>
      </c>
      <c r="R8" s="35">
        <v>3.5</v>
      </c>
      <c r="S8" s="72">
        <v>0.06</v>
      </c>
      <c r="T8" s="35">
        <f>CONVERT(85,"g","lbm")</f>
        <v>0.18739292285714593</v>
      </c>
      <c r="U8" s="35">
        <v>4</v>
      </c>
      <c r="V8" s="35">
        <v>0.875</v>
      </c>
      <c r="W8" s="72">
        <v>7.875</v>
      </c>
      <c r="X8" s="93" t="s">
        <v>66</v>
      </c>
      <c r="Y8" s="93" t="s">
        <v>66</v>
      </c>
      <c r="Z8" s="93" t="s">
        <v>66</v>
      </c>
      <c r="AA8" s="291" t="s">
        <v>66</v>
      </c>
      <c r="AB8" s="93" t="s">
        <v>66</v>
      </c>
      <c r="AC8" s="93" t="s">
        <v>66</v>
      </c>
      <c r="AD8" s="93" t="s">
        <v>66</v>
      </c>
      <c r="AE8" s="291" t="s">
        <v>66</v>
      </c>
      <c r="AF8" s="17"/>
      <c r="AG8" s="61" t="s">
        <v>2096</v>
      </c>
      <c r="AH8" s="61" t="s">
        <v>2097</v>
      </c>
      <c r="AI8" s="61" t="s">
        <v>2098</v>
      </c>
      <c r="AJ8" s="22" t="s">
        <v>2099</v>
      </c>
      <c r="AK8" s="61" t="s">
        <v>2100</v>
      </c>
      <c r="AL8" s="61" t="s">
        <v>2101</v>
      </c>
      <c r="AM8" s="61"/>
      <c r="AN8" s="61"/>
      <c r="AO8" s="61" t="s">
        <v>2095</v>
      </c>
      <c r="AP8" s="11" t="s">
        <v>2084</v>
      </c>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row>
    <row r="9" spans="1:335" s="16" customFormat="1" x14ac:dyDescent="0.25">
      <c r="A9" s="20" t="s">
        <v>228</v>
      </c>
      <c r="B9" s="141"/>
      <c r="C9" s="20" t="s">
        <v>248</v>
      </c>
      <c r="D9" s="35"/>
      <c r="E9" s="61" t="s">
        <v>308</v>
      </c>
      <c r="F9" s="20" t="s">
        <v>1637</v>
      </c>
      <c r="G9" s="20" t="s">
        <v>1528</v>
      </c>
      <c r="H9" s="62" t="s">
        <v>230</v>
      </c>
      <c r="I9" s="38" t="s">
        <v>66</v>
      </c>
      <c r="J9" s="38" t="s">
        <v>66</v>
      </c>
      <c r="K9" s="63" t="s">
        <v>241</v>
      </c>
      <c r="L9" s="38" t="s">
        <v>325</v>
      </c>
      <c r="M9" s="13">
        <v>17.989999999999998</v>
      </c>
      <c r="N9" s="37">
        <v>1</v>
      </c>
      <c r="O9" s="358">
        <v>100</v>
      </c>
      <c r="P9" s="35">
        <f>0.4/16</f>
        <v>2.5000000000000001E-2</v>
      </c>
      <c r="Q9" s="35">
        <v>2.5</v>
      </c>
      <c r="R9" s="35">
        <v>1.5</v>
      </c>
      <c r="S9" s="72">
        <v>1.875</v>
      </c>
      <c r="T9" s="35">
        <f>CONVERT(20,"g","lbm")</f>
        <v>4.4092452436975516E-2</v>
      </c>
      <c r="U9" s="35">
        <v>4.5625</v>
      </c>
      <c r="V9" s="35">
        <v>1.25</v>
      </c>
      <c r="W9" s="72">
        <v>6</v>
      </c>
      <c r="X9" s="93" t="s">
        <v>66</v>
      </c>
      <c r="Y9" s="93" t="s">
        <v>66</v>
      </c>
      <c r="Z9" s="93" t="s">
        <v>66</v>
      </c>
      <c r="AA9" s="291" t="s">
        <v>66</v>
      </c>
      <c r="AB9" s="35">
        <v>11.9</v>
      </c>
      <c r="AC9" s="35">
        <v>18</v>
      </c>
      <c r="AD9" s="35">
        <v>13</v>
      </c>
      <c r="AE9" s="72">
        <v>10.5</v>
      </c>
      <c r="AF9" s="17">
        <f>AC9*AD9*AE9/(12^3)</f>
        <v>1.421875</v>
      </c>
      <c r="AG9" s="61" t="s">
        <v>2103</v>
      </c>
      <c r="AH9" s="61" t="s">
        <v>2104</v>
      </c>
      <c r="AI9" s="61" t="s">
        <v>2105</v>
      </c>
      <c r="AJ9" s="61" t="s">
        <v>2106</v>
      </c>
      <c r="AK9" s="61" t="s">
        <v>2107</v>
      </c>
      <c r="AL9" s="61" t="s">
        <v>2108</v>
      </c>
      <c r="AM9" s="61"/>
      <c r="AN9" s="61"/>
      <c r="AO9" s="61" t="s">
        <v>2102</v>
      </c>
      <c r="AP9" s="11" t="s">
        <v>2084</v>
      </c>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row>
    <row r="10" spans="1:335" s="16" customFormat="1" x14ac:dyDescent="0.25">
      <c r="A10" s="20" t="s">
        <v>228</v>
      </c>
      <c r="B10" s="141"/>
      <c r="C10" s="20" t="s">
        <v>1993</v>
      </c>
      <c r="D10" s="35"/>
      <c r="E10" s="61" t="s">
        <v>2050</v>
      </c>
      <c r="F10" s="20" t="s">
        <v>1637</v>
      </c>
      <c r="G10" s="20" t="s">
        <v>1518</v>
      </c>
      <c r="H10" s="62" t="s">
        <v>2036</v>
      </c>
      <c r="I10" s="293"/>
      <c r="J10" s="293"/>
      <c r="K10" s="63" t="s">
        <v>240</v>
      </c>
      <c r="L10" s="38" t="s">
        <v>325</v>
      </c>
      <c r="M10" s="13">
        <v>12.99</v>
      </c>
      <c r="N10" s="137">
        <v>1</v>
      </c>
      <c r="O10" s="229">
        <v>450</v>
      </c>
      <c r="P10" s="135">
        <f>CONVERT(0,"g","lbm")</f>
        <v>0</v>
      </c>
      <c r="Q10" s="135">
        <f>CONVERT(0,"mm","in")</f>
        <v>0</v>
      </c>
      <c r="R10" s="135">
        <f>CONVERT(0,"mm","in")</f>
        <v>0</v>
      </c>
      <c r="S10" s="136">
        <f>CONVERT(0,"mm","in")</f>
        <v>0</v>
      </c>
      <c r="T10" s="135">
        <f>CONVERT(0,"g","lbm")</f>
        <v>0</v>
      </c>
      <c r="U10" s="135">
        <f>CONVERT(0,"mm","in")</f>
        <v>0</v>
      </c>
      <c r="V10" s="135">
        <f>CONVERT(0,"mm","in")</f>
        <v>0</v>
      </c>
      <c r="W10" s="136">
        <f>CONVERT(0,"mm","in")</f>
        <v>0</v>
      </c>
      <c r="X10" s="135">
        <f>CONVERT(0,"g","lbm")</f>
        <v>0</v>
      </c>
      <c r="Y10" s="135">
        <f>CONVERT(0,"mm","in")</f>
        <v>0</v>
      </c>
      <c r="Z10" s="135">
        <f>CONVERT(0,"mm","in")</f>
        <v>0</v>
      </c>
      <c r="AA10" s="136">
        <f>CONVERT(0,"mm","in")</f>
        <v>0</v>
      </c>
      <c r="AB10" s="135">
        <f>CONVERT(0,"kg","lbm")</f>
        <v>0</v>
      </c>
      <c r="AC10" s="135">
        <f>CONVERT(0,"cm","in")</f>
        <v>0</v>
      </c>
      <c r="AD10" s="135">
        <f>CONVERT(0,"cm","in")</f>
        <v>0</v>
      </c>
      <c r="AE10" s="136">
        <f>CONVERT(0,"cm","in")</f>
        <v>0</v>
      </c>
      <c r="AF10" s="17">
        <f>AC10*AD10*AE10/(12^3)</f>
        <v>0</v>
      </c>
      <c r="AG10" s="488" t="s">
        <v>2112</v>
      </c>
      <c r="AH10" s="488" t="s">
        <v>2114</v>
      </c>
      <c r="AI10" s="488" t="s">
        <v>2115</v>
      </c>
      <c r="AJ10" s="488" t="s">
        <v>2117</v>
      </c>
      <c r="AK10" s="488" t="s">
        <v>2118</v>
      </c>
      <c r="AL10" s="488" t="s">
        <v>2120</v>
      </c>
      <c r="AM10" s="488"/>
      <c r="AN10" s="488"/>
      <c r="AO10" s="488" t="s">
        <v>2110</v>
      </c>
      <c r="AP10" s="11" t="s">
        <v>2084</v>
      </c>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20"/>
      <c r="LP10" s="20"/>
      <c r="LQ10" s="20"/>
      <c r="LR10" s="20"/>
      <c r="LS10" s="20"/>
      <c r="LT10" s="20"/>
      <c r="LU10" s="20"/>
      <c r="LV10" s="20"/>
      <c r="LW10" s="20"/>
    </row>
    <row r="11" spans="1:335" s="16" customFormat="1" x14ac:dyDescent="0.25">
      <c r="A11" s="20" t="s">
        <v>228</v>
      </c>
      <c r="B11" s="141"/>
      <c r="C11" s="82" t="s">
        <v>355</v>
      </c>
      <c r="D11" s="35"/>
      <c r="E11" s="61" t="s">
        <v>2051</v>
      </c>
      <c r="F11" s="20" t="s">
        <v>1637</v>
      </c>
      <c r="G11" s="20" t="s">
        <v>1518</v>
      </c>
      <c r="H11" s="9">
        <v>4021684028902</v>
      </c>
      <c r="I11" s="38" t="s">
        <v>66</v>
      </c>
      <c r="J11" s="38" t="s">
        <v>66</v>
      </c>
      <c r="K11" s="63" t="s">
        <v>240</v>
      </c>
      <c r="L11" s="38" t="s">
        <v>330</v>
      </c>
      <c r="M11" s="13">
        <v>22.99</v>
      </c>
      <c r="N11" s="37">
        <v>1</v>
      </c>
      <c r="O11" s="228">
        <v>75</v>
      </c>
      <c r="P11" s="35">
        <f>12.7/16</f>
        <v>0.79374999999999996</v>
      </c>
      <c r="Q11" s="35">
        <v>5.2</v>
      </c>
      <c r="R11" s="35">
        <v>3.8</v>
      </c>
      <c r="S11" s="72">
        <v>1.5</v>
      </c>
      <c r="T11" s="35">
        <f>CONVERT(375,"g","lbm")</f>
        <v>0.82673348319329087</v>
      </c>
      <c r="U11" s="35">
        <v>5.25</v>
      </c>
      <c r="V11" s="35">
        <v>1.5</v>
      </c>
      <c r="W11" s="72">
        <v>3.875</v>
      </c>
      <c r="X11" s="93" t="s">
        <v>66</v>
      </c>
      <c r="Y11" s="93" t="s">
        <v>66</v>
      </c>
      <c r="Z11" s="93" t="s">
        <v>66</v>
      </c>
      <c r="AA11" s="291" t="s">
        <v>66</v>
      </c>
      <c r="AB11" s="35">
        <v>64</v>
      </c>
      <c r="AC11" s="35">
        <v>21</v>
      </c>
      <c r="AD11" s="35">
        <v>13.75</v>
      </c>
      <c r="AE11" s="72">
        <v>11.25</v>
      </c>
      <c r="AF11" s="17">
        <f>AC11*AD11*AE11/(12^3)</f>
        <v>1.8798828125</v>
      </c>
      <c r="AG11" s="61" t="s">
        <v>2111</v>
      </c>
      <c r="AH11" s="61" t="s">
        <v>2114</v>
      </c>
      <c r="AI11" s="61" t="s">
        <v>2115</v>
      </c>
      <c r="AJ11" s="61" t="s">
        <v>2116</v>
      </c>
      <c r="AK11" s="61" t="s">
        <v>2118</v>
      </c>
      <c r="AL11" s="61" t="s">
        <v>2119</v>
      </c>
      <c r="AM11" s="61"/>
      <c r="AN11" s="61"/>
      <c r="AO11" s="61" t="s">
        <v>2109</v>
      </c>
      <c r="AP11" s="11" t="s">
        <v>2084</v>
      </c>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row>
    <row r="12" spans="1:335" s="16" customFormat="1" x14ac:dyDescent="0.25">
      <c r="A12" s="20" t="s">
        <v>228</v>
      </c>
      <c r="B12" s="141"/>
      <c r="C12" s="20" t="s">
        <v>247</v>
      </c>
      <c r="D12" s="35"/>
      <c r="E12" s="61" t="s">
        <v>2052</v>
      </c>
      <c r="F12" s="20" t="s">
        <v>1637</v>
      </c>
      <c r="G12" s="20" t="s">
        <v>1518</v>
      </c>
      <c r="H12" s="506" t="s">
        <v>229</v>
      </c>
      <c r="I12" s="38" t="s">
        <v>66</v>
      </c>
      <c r="J12" s="38" t="s">
        <v>66</v>
      </c>
      <c r="K12" s="63" t="s">
        <v>240</v>
      </c>
      <c r="L12" s="38" t="s">
        <v>330</v>
      </c>
      <c r="M12" s="13">
        <v>12.99</v>
      </c>
      <c r="N12" s="37">
        <v>1</v>
      </c>
      <c r="O12" s="228">
        <v>110</v>
      </c>
      <c r="P12" s="35">
        <f>6.3/16</f>
        <v>0.39374999999999999</v>
      </c>
      <c r="Q12" s="35">
        <v>3.9</v>
      </c>
      <c r="R12" s="35">
        <v>3</v>
      </c>
      <c r="S12" s="72">
        <v>0.9</v>
      </c>
      <c r="T12" s="35">
        <f>CONVERT(195,"g","lbm")</f>
        <v>0.42990141126051129</v>
      </c>
      <c r="U12" s="35">
        <v>4.125</v>
      </c>
      <c r="V12" s="35">
        <v>0.9375</v>
      </c>
      <c r="W12" s="72">
        <v>8</v>
      </c>
      <c r="X12" s="93" t="s">
        <v>66</v>
      </c>
      <c r="Y12" s="93" t="s">
        <v>66</v>
      </c>
      <c r="Z12" s="93" t="s">
        <v>66</v>
      </c>
      <c r="AA12" s="291" t="s">
        <v>66</v>
      </c>
      <c r="AB12" s="35">
        <v>51</v>
      </c>
      <c r="AC12" s="35">
        <v>21</v>
      </c>
      <c r="AD12" s="35">
        <v>13.75</v>
      </c>
      <c r="AE12" s="72">
        <v>11.25</v>
      </c>
      <c r="AF12" s="17">
        <f>AC12*AD12*AE12/(12^3)</f>
        <v>1.8798828125</v>
      </c>
      <c r="AG12" s="61" t="s">
        <v>2112</v>
      </c>
      <c r="AH12" s="61" t="s">
        <v>2114</v>
      </c>
      <c r="AI12" s="61" t="s">
        <v>2115</v>
      </c>
      <c r="AJ12" s="61" t="s">
        <v>2117</v>
      </c>
      <c r="AK12" s="61" t="s">
        <v>2118</v>
      </c>
      <c r="AL12" s="61" t="s">
        <v>2120</v>
      </c>
      <c r="AM12" s="61"/>
      <c r="AN12" s="61"/>
      <c r="AO12" s="61" t="s">
        <v>2110</v>
      </c>
      <c r="AP12" s="11" t="s">
        <v>2084</v>
      </c>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row>
    <row r="13" spans="1:335" s="304" customFormat="1" x14ac:dyDescent="0.25">
      <c r="A13" s="20" t="s">
        <v>228</v>
      </c>
      <c r="B13" s="141"/>
      <c r="C13" s="20" t="s">
        <v>836</v>
      </c>
      <c r="D13" s="35"/>
      <c r="E13" s="61" t="s">
        <v>2053</v>
      </c>
      <c r="F13" s="20"/>
      <c r="G13" s="20" t="s">
        <v>1487</v>
      </c>
      <c r="H13" s="38" t="s">
        <v>658</v>
      </c>
      <c r="I13" s="38" t="s">
        <v>66</v>
      </c>
      <c r="J13" s="38" t="s">
        <v>66</v>
      </c>
      <c r="K13" s="63" t="s">
        <v>2043</v>
      </c>
      <c r="L13" s="38" t="s">
        <v>330</v>
      </c>
      <c r="M13" s="487">
        <v>359.64</v>
      </c>
      <c r="N13" s="37">
        <v>1</v>
      </c>
      <c r="O13" s="228" t="s">
        <v>2054</v>
      </c>
      <c r="P13" s="35" t="s">
        <v>66</v>
      </c>
      <c r="Q13" s="35" t="s">
        <v>66</v>
      </c>
      <c r="R13" s="35" t="s">
        <v>66</v>
      </c>
      <c r="S13" s="72" t="s">
        <v>66</v>
      </c>
      <c r="T13" s="135">
        <v>17.5</v>
      </c>
      <c r="U13" s="35">
        <v>13</v>
      </c>
      <c r="V13" s="35">
        <v>6.25</v>
      </c>
      <c r="W13" s="72">
        <v>16.5</v>
      </c>
      <c r="X13" s="93" t="s">
        <v>66</v>
      </c>
      <c r="Y13" s="93" t="s">
        <v>66</v>
      </c>
      <c r="Z13" s="93" t="s">
        <v>66</v>
      </c>
      <c r="AA13" s="291" t="s">
        <v>66</v>
      </c>
      <c r="AB13" s="135">
        <v>17.5</v>
      </c>
      <c r="AC13" s="135">
        <v>9</v>
      </c>
      <c r="AD13" s="135">
        <v>14</v>
      </c>
      <c r="AE13" s="136">
        <v>14</v>
      </c>
      <c r="AF13" s="17">
        <f>AC13*AD13*AE13/(12^3)</f>
        <v>1.0208333333333333</v>
      </c>
      <c r="AG13" s="61" t="s">
        <v>837</v>
      </c>
      <c r="AH13" s="61" t="s">
        <v>2113</v>
      </c>
      <c r="AI13" s="61"/>
      <c r="AJ13" s="61"/>
      <c r="AK13" s="11"/>
      <c r="AL13" s="11"/>
      <c r="AM13" s="11"/>
      <c r="AN13" s="11"/>
      <c r="AO13" s="11" t="s">
        <v>2084</v>
      </c>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c r="IW13" s="20"/>
      <c r="IX13" s="20"/>
      <c r="IY13" s="20"/>
      <c r="IZ13" s="20"/>
      <c r="JA13" s="20"/>
      <c r="JB13" s="20"/>
      <c r="JC13" s="20"/>
      <c r="JD13" s="20"/>
      <c r="JE13" s="20"/>
      <c r="JF13" s="20"/>
      <c r="JG13" s="20"/>
      <c r="JH13" s="20"/>
      <c r="JI13" s="20"/>
      <c r="JJ13" s="20"/>
      <c r="JK13" s="20"/>
      <c r="JL13" s="20"/>
      <c r="JM13" s="20"/>
      <c r="JN13" s="20"/>
      <c r="JO13" s="20"/>
      <c r="JP13" s="20"/>
      <c r="JQ13" s="20"/>
      <c r="JR13" s="20"/>
      <c r="JS13" s="20"/>
      <c r="JT13" s="20"/>
      <c r="JU13" s="20"/>
      <c r="JV13" s="20"/>
      <c r="JW13" s="20"/>
      <c r="JX13" s="20"/>
      <c r="JY13" s="20"/>
      <c r="JZ13" s="20"/>
      <c r="KA13" s="20"/>
      <c r="KB13" s="20"/>
      <c r="KC13" s="20"/>
      <c r="KD13" s="20"/>
      <c r="KE13" s="20"/>
      <c r="KF13" s="20"/>
      <c r="KG13" s="20"/>
      <c r="KH13" s="20"/>
      <c r="KI13" s="20"/>
      <c r="KJ13" s="20"/>
      <c r="KK13" s="20"/>
      <c r="KL13" s="20"/>
      <c r="KM13" s="20"/>
      <c r="KN13" s="20"/>
      <c r="KO13" s="20"/>
      <c r="KP13" s="20"/>
      <c r="KQ13" s="20"/>
      <c r="KR13" s="20"/>
      <c r="KS13" s="20"/>
      <c r="KT13" s="20"/>
      <c r="KU13" s="20"/>
      <c r="KV13" s="20"/>
      <c r="KW13" s="20"/>
      <c r="KX13" s="20"/>
      <c r="KY13" s="20"/>
      <c r="KZ13" s="20"/>
      <c r="LA13" s="20"/>
      <c r="LB13" s="20"/>
      <c r="LC13" s="20"/>
      <c r="LD13" s="20"/>
      <c r="LE13" s="20"/>
      <c r="LF13" s="20"/>
      <c r="LG13" s="20"/>
      <c r="LH13" s="20"/>
      <c r="LI13" s="20"/>
      <c r="LJ13" s="20"/>
      <c r="LK13" s="20"/>
      <c r="LL13" s="20"/>
      <c r="LM13" s="20"/>
      <c r="LN13" s="20"/>
      <c r="LO13" s="20"/>
      <c r="LP13" s="20"/>
      <c r="LQ13" s="20"/>
      <c r="LR13" s="20"/>
      <c r="LS13" s="20"/>
      <c r="LT13" s="20"/>
      <c r="LU13" s="20"/>
      <c r="LV13" s="20"/>
      <c r="LW13" s="20"/>
    </row>
    <row r="14" spans="1:335" s="16" customFormat="1" ht="15.6" x14ac:dyDescent="0.3">
      <c r="A14" s="489" t="s">
        <v>2040</v>
      </c>
      <c r="B14" s="489"/>
      <c r="C14" s="489"/>
      <c r="D14" s="24"/>
      <c r="E14" s="22"/>
      <c r="H14" s="31"/>
      <c r="I14" s="31"/>
      <c r="J14" s="31"/>
      <c r="K14" s="31"/>
      <c r="L14" s="300"/>
      <c r="M14" s="6"/>
      <c r="N14" s="37"/>
      <c r="O14" s="228"/>
      <c r="P14" s="35"/>
      <c r="Q14" s="35"/>
      <c r="R14" s="35"/>
      <c r="S14" s="45"/>
      <c r="T14" s="17"/>
      <c r="U14" s="17"/>
      <c r="V14" s="17"/>
      <c r="W14" s="45"/>
      <c r="X14" s="17"/>
      <c r="Y14" s="17"/>
      <c r="Z14" s="17"/>
      <c r="AA14" s="45"/>
      <c r="AB14" s="44"/>
      <c r="AC14" s="17"/>
      <c r="AD14" s="17"/>
      <c r="AE14" s="45"/>
      <c r="AF14" s="153"/>
      <c r="AG14" s="161"/>
      <c r="AH14" s="161"/>
      <c r="AI14" s="161"/>
      <c r="AJ14" s="161"/>
      <c r="AK14" s="161"/>
      <c r="AL14" s="161"/>
      <c r="AM14" s="48"/>
      <c r="AN14" s="159"/>
      <c r="AO14" s="48"/>
      <c r="AP14" s="48"/>
      <c r="AQ14" s="48"/>
    </row>
    <row r="15" spans="1:335" s="20" customFormat="1" x14ac:dyDescent="0.25">
      <c r="A15" s="20" t="s">
        <v>228</v>
      </c>
      <c r="B15" s="141"/>
      <c r="C15" s="20" t="s">
        <v>254</v>
      </c>
      <c r="D15" s="35"/>
      <c r="E15" s="508" t="s">
        <v>2055</v>
      </c>
      <c r="F15" s="20" t="s">
        <v>1637</v>
      </c>
      <c r="G15" s="20" t="s">
        <v>1517</v>
      </c>
      <c r="H15" s="62" t="s">
        <v>236</v>
      </c>
      <c r="I15" s="38" t="s">
        <v>66</v>
      </c>
      <c r="J15" s="38" t="s">
        <v>66</v>
      </c>
      <c r="K15" s="63" t="s">
        <v>243</v>
      </c>
      <c r="L15" s="38" t="s">
        <v>325</v>
      </c>
      <c r="M15" s="13">
        <v>29.99</v>
      </c>
      <c r="N15" s="37">
        <v>1</v>
      </c>
      <c r="O15" s="228">
        <v>12</v>
      </c>
      <c r="P15" s="35">
        <f>7.9/16</f>
        <v>0.49375000000000002</v>
      </c>
      <c r="Q15" s="35">
        <v>4.4000000000000004</v>
      </c>
      <c r="R15" s="35">
        <v>4.4000000000000004</v>
      </c>
      <c r="S15" s="72">
        <v>6.5</v>
      </c>
      <c r="T15" s="35">
        <f>CONVERT(290,"g","lbm")</f>
        <v>0.63934056033614495</v>
      </c>
      <c r="U15" s="35">
        <v>4.5</v>
      </c>
      <c r="V15" s="35">
        <v>4.5</v>
      </c>
      <c r="W15" s="72">
        <v>4.25</v>
      </c>
      <c r="X15" s="93" t="s">
        <v>66</v>
      </c>
      <c r="Y15" s="93" t="s">
        <v>66</v>
      </c>
      <c r="Z15" s="93" t="s">
        <v>66</v>
      </c>
      <c r="AA15" s="291" t="s">
        <v>66</v>
      </c>
      <c r="AB15" s="35">
        <v>7.75</v>
      </c>
      <c r="AC15" s="35">
        <v>14.2</v>
      </c>
      <c r="AD15" s="35">
        <v>9.6999999999999993</v>
      </c>
      <c r="AE15" s="72">
        <v>9.6999999999999993</v>
      </c>
      <c r="AF15" s="17">
        <f t="shared" ref="AF15:AF20" si="1">AC15*AD15*AE15/(12^3)</f>
        <v>0.77319328703703694</v>
      </c>
      <c r="AG15" s="61" t="s">
        <v>2121</v>
      </c>
      <c r="AH15" s="61" t="s">
        <v>2122</v>
      </c>
      <c r="AI15" s="61" t="s">
        <v>2123</v>
      </c>
      <c r="AJ15" s="61" t="s">
        <v>2124</v>
      </c>
      <c r="AK15" s="61" t="s">
        <v>337</v>
      </c>
      <c r="AL15" s="61" t="s">
        <v>335</v>
      </c>
      <c r="AM15" s="61" t="s">
        <v>2125</v>
      </c>
      <c r="AN15" s="61"/>
      <c r="AO15" s="61" t="s">
        <v>2126</v>
      </c>
      <c r="AP15" s="11" t="s">
        <v>2084</v>
      </c>
      <c r="AR15" s="16"/>
      <c r="AS15" s="16"/>
      <c r="AT15" s="16"/>
    </row>
    <row r="16" spans="1:335" s="16" customFormat="1" x14ac:dyDescent="0.25">
      <c r="A16" s="267" t="s">
        <v>228</v>
      </c>
      <c r="B16" s="267"/>
      <c r="C16" s="267" t="s">
        <v>3194</v>
      </c>
      <c r="D16" s="24"/>
      <c r="E16" s="61" t="s">
        <v>3195</v>
      </c>
      <c r="F16" s="16" t="s">
        <v>649</v>
      </c>
      <c r="G16" s="16" t="s">
        <v>1517</v>
      </c>
      <c r="H16" s="31" t="s">
        <v>3196</v>
      </c>
      <c r="I16" s="31" t="s">
        <v>66</v>
      </c>
      <c r="J16" s="31" t="s">
        <v>66</v>
      </c>
      <c r="K16" s="31" t="s">
        <v>243</v>
      </c>
      <c r="L16" s="31" t="s">
        <v>325</v>
      </c>
      <c r="M16" s="6">
        <v>59.99</v>
      </c>
      <c r="N16" s="37">
        <v>1</v>
      </c>
      <c r="O16" s="228">
        <v>12</v>
      </c>
      <c r="P16" s="35">
        <v>1.17</v>
      </c>
      <c r="Q16" s="35"/>
      <c r="R16" s="35"/>
      <c r="S16" s="45"/>
      <c r="T16" s="17"/>
      <c r="U16" s="17">
        <v>5.25</v>
      </c>
      <c r="V16" s="17">
        <v>5.25</v>
      </c>
      <c r="W16" s="45">
        <v>6.5</v>
      </c>
      <c r="X16" s="291" t="s">
        <v>66</v>
      </c>
      <c r="Y16" s="291" t="s">
        <v>66</v>
      </c>
      <c r="Z16" s="291" t="s">
        <v>66</v>
      </c>
      <c r="AA16" s="291" t="s">
        <v>66</v>
      </c>
      <c r="AB16" s="17">
        <v>16.98</v>
      </c>
      <c r="AC16" s="17">
        <v>16.53</v>
      </c>
      <c r="AD16" s="17">
        <v>11.22</v>
      </c>
      <c r="AE16" s="45">
        <v>13.78</v>
      </c>
      <c r="AF16" s="20">
        <f t="shared" si="1"/>
        <v>1.4790102708333335</v>
      </c>
      <c r="AG16" s="61" t="s">
        <v>2127</v>
      </c>
      <c r="AH16" s="61" t="s">
        <v>2128</v>
      </c>
      <c r="AI16" t="s">
        <v>2129</v>
      </c>
      <c r="AJ16" s="61" t="s">
        <v>2130</v>
      </c>
      <c r="AK16" s="787" t="s">
        <v>3197</v>
      </c>
      <c r="AL16" s="61" t="s">
        <v>2132</v>
      </c>
      <c r="AM16" s="61" t="s">
        <v>335</v>
      </c>
      <c r="AN16" s="61" t="s">
        <v>3198</v>
      </c>
      <c r="AO16" s="48" t="s">
        <v>3199</v>
      </c>
      <c r="AP16" s="11" t="s">
        <v>2084</v>
      </c>
      <c r="AQ16" s="48"/>
    </row>
    <row r="17" spans="1:335" s="20" customFormat="1" x14ac:dyDescent="0.25">
      <c r="A17" s="20" t="s">
        <v>228</v>
      </c>
      <c r="B17" s="141"/>
      <c r="C17" s="20" t="s">
        <v>255</v>
      </c>
      <c r="D17" s="35"/>
      <c r="E17" s="508" t="s">
        <v>2057</v>
      </c>
      <c r="F17" s="20" t="s">
        <v>1637</v>
      </c>
      <c r="G17" s="20" t="s">
        <v>1517</v>
      </c>
      <c r="H17" s="62" t="s">
        <v>237</v>
      </c>
      <c r="I17" s="38" t="s">
        <v>66</v>
      </c>
      <c r="J17" s="38" t="s">
        <v>66</v>
      </c>
      <c r="K17" s="63" t="s">
        <v>243</v>
      </c>
      <c r="L17" s="38" t="s">
        <v>325</v>
      </c>
      <c r="M17" s="13">
        <v>49.99</v>
      </c>
      <c r="N17" s="37">
        <v>1</v>
      </c>
      <c r="O17" s="228">
        <v>12</v>
      </c>
      <c r="P17" s="35">
        <f>16.1/16</f>
        <v>1.0062500000000001</v>
      </c>
      <c r="Q17" s="35">
        <v>4.375</v>
      </c>
      <c r="R17" s="35">
        <v>4.375</v>
      </c>
      <c r="S17" s="72">
        <v>9.25</v>
      </c>
      <c r="T17" s="35">
        <f>CONVERT(550,"g","lbm")</f>
        <v>1.2125424420168267</v>
      </c>
      <c r="U17" s="35">
        <v>5.25</v>
      </c>
      <c r="V17" s="35">
        <v>5.25</v>
      </c>
      <c r="W17" s="72">
        <v>6.5</v>
      </c>
      <c r="X17" s="93" t="s">
        <v>66</v>
      </c>
      <c r="Y17" s="93" t="s">
        <v>66</v>
      </c>
      <c r="Z17" s="93" t="s">
        <v>66</v>
      </c>
      <c r="AA17" s="291" t="s">
        <v>66</v>
      </c>
      <c r="AB17" s="35">
        <v>16.5</v>
      </c>
      <c r="AC17" s="35">
        <v>16.350000000000001</v>
      </c>
      <c r="AD17" s="35">
        <v>11</v>
      </c>
      <c r="AE17" s="72">
        <v>14.2</v>
      </c>
      <c r="AF17" s="17">
        <f t="shared" si="1"/>
        <v>1.4779340277777779</v>
      </c>
      <c r="AG17" s="61" t="s">
        <v>2127</v>
      </c>
      <c r="AH17" s="61" t="s">
        <v>2128</v>
      </c>
      <c r="AI17" t="s">
        <v>2129</v>
      </c>
      <c r="AJ17" s="61" t="s">
        <v>2130</v>
      </c>
      <c r="AK17" s="61" t="s">
        <v>2131</v>
      </c>
      <c r="AL17" s="61" t="s">
        <v>2132</v>
      </c>
      <c r="AM17" s="61" t="s">
        <v>335</v>
      </c>
      <c r="AN17" s="61" t="s">
        <v>2133</v>
      </c>
      <c r="AO17" s="61" t="s">
        <v>2134</v>
      </c>
      <c r="AP17" s="11" t="s">
        <v>2084</v>
      </c>
      <c r="AR17" s="16"/>
      <c r="AS17" s="16"/>
      <c r="AT17" s="16"/>
    </row>
    <row r="18" spans="1:335" s="16" customFormat="1" x14ac:dyDescent="0.25">
      <c r="A18" s="20" t="s">
        <v>228</v>
      </c>
      <c r="B18" s="141"/>
      <c r="C18" s="39" t="s">
        <v>417</v>
      </c>
      <c r="D18" s="35"/>
      <c r="E18" s="61" t="s">
        <v>2058</v>
      </c>
      <c r="F18" s="20" t="s">
        <v>1637</v>
      </c>
      <c r="G18" s="20" t="s">
        <v>1517</v>
      </c>
      <c r="H18" s="62" t="s">
        <v>419</v>
      </c>
      <c r="I18" s="38" t="s">
        <v>66</v>
      </c>
      <c r="J18" s="38" t="s">
        <v>66</v>
      </c>
      <c r="K18" s="63" t="s">
        <v>243</v>
      </c>
      <c r="L18" s="38" t="s">
        <v>325</v>
      </c>
      <c r="M18" s="13">
        <v>99</v>
      </c>
      <c r="N18" s="37">
        <v>1</v>
      </c>
      <c r="O18" s="228">
        <v>12</v>
      </c>
      <c r="P18" s="35">
        <f>42.3/16</f>
        <v>2.6437499999999998</v>
      </c>
      <c r="Q18" s="35" t="s">
        <v>66</v>
      </c>
      <c r="R18" s="35" t="s">
        <v>66</v>
      </c>
      <c r="S18" s="72" t="s">
        <v>66</v>
      </c>
      <c r="T18" s="35">
        <f>CONVERT(1390,"g","lbm")</f>
        <v>3.0644254443697982</v>
      </c>
      <c r="U18" s="35">
        <v>4.4000000000000004</v>
      </c>
      <c r="V18" s="35">
        <v>4.4000000000000004</v>
      </c>
      <c r="W18" s="72">
        <v>5.6</v>
      </c>
      <c r="X18" s="93" t="s">
        <v>66</v>
      </c>
      <c r="Y18" s="93" t="s">
        <v>66</v>
      </c>
      <c r="Z18" s="93" t="s">
        <v>66</v>
      </c>
      <c r="AA18" s="291" t="s">
        <v>66</v>
      </c>
      <c r="AB18" s="35">
        <v>38.700000000000003</v>
      </c>
      <c r="AC18" s="35">
        <v>25.5</v>
      </c>
      <c r="AD18" s="35">
        <v>11.5</v>
      </c>
      <c r="AE18" s="72">
        <v>17.5</v>
      </c>
      <c r="AF18" s="17">
        <f t="shared" si="1"/>
        <v>2.9698350694444446</v>
      </c>
      <c r="AG18" s="61" t="s">
        <v>2136</v>
      </c>
      <c r="AH18" s="61" t="s">
        <v>2137</v>
      </c>
      <c r="AI18" s="61" t="s">
        <v>2138</v>
      </c>
      <c r="AJ18" s="61" t="s">
        <v>418</v>
      </c>
      <c r="AK18" s="61" t="s">
        <v>337</v>
      </c>
      <c r="AL18" s="61" t="s">
        <v>2132</v>
      </c>
      <c r="AM18" s="61" t="s">
        <v>335</v>
      </c>
      <c r="AN18" s="61" t="s">
        <v>2139</v>
      </c>
      <c r="AO18" s="61" t="s">
        <v>2135</v>
      </c>
      <c r="AP18" s="11" t="s">
        <v>2084</v>
      </c>
      <c r="AQ18" s="20"/>
    </row>
    <row r="19" spans="1:335" s="16" customFormat="1" x14ac:dyDescent="0.25">
      <c r="A19" s="20" t="s">
        <v>228</v>
      </c>
      <c r="B19" s="141"/>
      <c r="C19" s="20" t="s">
        <v>285</v>
      </c>
      <c r="D19" s="35"/>
      <c r="E19" s="61" t="s">
        <v>2060</v>
      </c>
      <c r="F19" s="20" t="s">
        <v>649</v>
      </c>
      <c r="G19" s="20" t="s">
        <v>1518</v>
      </c>
      <c r="H19" s="62" t="s">
        <v>286</v>
      </c>
      <c r="I19" s="38" t="s">
        <v>66</v>
      </c>
      <c r="J19" s="38" t="s">
        <v>66</v>
      </c>
      <c r="K19" s="63" t="s">
        <v>240</v>
      </c>
      <c r="L19" s="38" t="s">
        <v>325</v>
      </c>
      <c r="M19" s="13">
        <v>29.99</v>
      </c>
      <c r="N19" s="37">
        <v>1</v>
      </c>
      <c r="O19" s="228">
        <v>26</v>
      </c>
      <c r="P19" s="35">
        <f>CONVERT(95,"g","lbm")</f>
        <v>0.20943914907563368</v>
      </c>
      <c r="Q19" s="35">
        <v>4.75</v>
      </c>
      <c r="R19" s="35">
        <v>0.5</v>
      </c>
      <c r="S19" s="72">
        <v>5</v>
      </c>
      <c r="T19" s="35">
        <f>CONVERT(125,"g","lbm")</f>
        <v>0.27557782773109696</v>
      </c>
      <c r="U19" s="35">
        <v>5</v>
      </c>
      <c r="V19" s="35">
        <v>0.75</v>
      </c>
      <c r="W19" s="72">
        <v>6.5</v>
      </c>
      <c r="X19" s="93" t="s">
        <v>66</v>
      </c>
      <c r="Y19" s="93" t="s">
        <v>66</v>
      </c>
      <c r="Z19" s="93" t="s">
        <v>66</v>
      </c>
      <c r="AA19" s="291" t="s">
        <v>66</v>
      </c>
      <c r="AB19" s="35">
        <v>7.65</v>
      </c>
      <c r="AC19" s="35">
        <v>10.5</v>
      </c>
      <c r="AD19" s="35">
        <v>7.375</v>
      </c>
      <c r="AE19" s="72">
        <v>11.75</v>
      </c>
      <c r="AF19" s="17">
        <f t="shared" si="1"/>
        <v>0.52655707465277779</v>
      </c>
      <c r="AG19" s="82" t="s">
        <v>341</v>
      </c>
      <c r="AH19" s="82" t="s">
        <v>2141</v>
      </c>
      <c r="AI19" s="82" t="s">
        <v>342</v>
      </c>
      <c r="AJ19" s="82" t="s">
        <v>343</v>
      </c>
      <c r="AK19" s="82" t="s">
        <v>2142</v>
      </c>
      <c r="AL19" s="82"/>
      <c r="AM19" s="82"/>
      <c r="AN19" s="82"/>
      <c r="AO19" s="82" t="s">
        <v>2140</v>
      </c>
      <c r="AP19" s="11" t="s">
        <v>2084</v>
      </c>
      <c r="AQ19" s="20"/>
      <c r="AR19" s="20"/>
      <c r="AS19" s="20"/>
      <c r="AT19" s="20"/>
    </row>
    <row r="20" spans="1:335" s="16" customFormat="1" x14ac:dyDescent="0.25">
      <c r="A20" s="20" t="s">
        <v>228</v>
      </c>
      <c r="B20" s="141"/>
      <c r="C20" s="20" t="s">
        <v>252</v>
      </c>
      <c r="D20" s="35"/>
      <c r="E20" s="61" t="s">
        <v>2059</v>
      </c>
      <c r="F20" s="20" t="s">
        <v>15</v>
      </c>
      <c r="G20" s="20" t="s">
        <v>1616</v>
      </c>
      <c r="H20" s="62" t="s">
        <v>234</v>
      </c>
      <c r="I20" s="38" t="s">
        <v>66</v>
      </c>
      <c r="J20" s="38" t="s">
        <v>66</v>
      </c>
      <c r="K20" s="63" t="s">
        <v>242</v>
      </c>
      <c r="L20" s="38" t="s">
        <v>325</v>
      </c>
      <c r="M20" s="13">
        <v>22.99</v>
      </c>
      <c r="N20" s="37">
        <v>1</v>
      </c>
      <c r="O20" s="228">
        <v>24</v>
      </c>
      <c r="P20" s="35">
        <f>3.4/16</f>
        <v>0.21249999999999999</v>
      </c>
      <c r="Q20" s="35">
        <v>3</v>
      </c>
      <c r="R20" s="35">
        <v>3</v>
      </c>
      <c r="S20" s="72">
        <v>1.875</v>
      </c>
      <c r="T20" s="35">
        <f>CONVERT(110,"g","lbm")</f>
        <v>0.24250848840336534</v>
      </c>
      <c r="U20" s="35">
        <v>6.75</v>
      </c>
      <c r="V20" s="35">
        <v>2.25</v>
      </c>
      <c r="W20" s="72">
        <v>7</v>
      </c>
      <c r="X20" s="93" t="s">
        <v>66</v>
      </c>
      <c r="Y20" s="93" t="s">
        <v>66</v>
      </c>
      <c r="Z20" s="93" t="s">
        <v>66</v>
      </c>
      <c r="AA20" s="291" t="s">
        <v>66</v>
      </c>
      <c r="AB20" s="35">
        <v>7.75</v>
      </c>
      <c r="AC20" s="35">
        <v>12.5</v>
      </c>
      <c r="AD20" s="35">
        <v>10</v>
      </c>
      <c r="AE20" s="72">
        <v>9</v>
      </c>
      <c r="AF20" s="17">
        <f t="shared" si="1"/>
        <v>0.65104166666666663</v>
      </c>
      <c r="AG20" s="61" t="s">
        <v>2143</v>
      </c>
      <c r="AH20" s="61" t="s">
        <v>2144</v>
      </c>
      <c r="AI20" s="61" t="s">
        <v>2145</v>
      </c>
      <c r="AJ20" s="61" t="s">
        <v>2146</v>
      </c>
      <c r="AK20" s="61" t="s">
        <v>2147</v>
      </c>
      <c r="AL20" s="61" t="s">
        <v>2148</v>
      </c>
      <c r="AM20" s="61"/>
      <c r="AN20" s="61"/>
      <c r="AO20" s="61" t="s">
        <v>2149</v>
      </c>
      <c r="AP20" s="11" t="s">
        <v>2084</v>
      </c>
      <c r="AQ20" s="20"/>
    </row>
    <row r="21" spans="1:335" s="16" customFormat="1" ht="15.6" x14ac:dyDescent="0.3">
      <c r="A21" s="489" t="s">
        <v>2041</v>
      </c>
      <c r="B21" s="489"/>
      <c r="C21" s="489"/>
      <c r="D21" s="24"/>
      <c r="E21" s="22"/>
      <c r="H21" s="31"/>
      <c r="I21" s="31"/>
      <c r="J21" s="31"/>
      <c r="K21" s="31"/>
      <c r="L21" s="300"/>
      <c r="M21" s="6"/>
      <c r="N21" s="37"/>
      <c r="O21" s="228"/>
      <c r="P21" s="35"/>
      <c r="Q21" s="35"/>
      <c r="R21" s="35"/>
      <c r="S21" s="45"/>
      <c r="T21" s="17"/>
      <c r="U21" s="17"/>
      <c r="V21" s="17"/>
      <c r="W21" s="45"/>
      <c r="X21" s="17"/>
      <c r="Y21" s="17"/>
      <c r="Z21" s="17"/>
      <c r="AA21" s="45"/>
      <c r="AB21" s="44"/>
      <c r="AC21" s="17"/>
      <c r="AD21" s="17"/>
      <c r="AE21" s="45"/>
      <c r="AF21" s="153"/>
      <c r="AG21" s="161"/>
      <c r="AH21" s="161"/>
      <c r="AI21" s="161"/>
      <c r="AJ21" s="161"/>
      <c r="AK21" s="161"/>
      <c r="AL21" s="161"/>
      <c r="AM21" s="48"/>
      <c r="AN21" s="159"/>
      <c r="AO21" s="48"/>
      <c r="AP21" s="48"/>
      <c r="AQ21" s="48"/>
    </row>
    <row r="22" spans="1:335" s="304" customFormat="1" x14ac:dyDescent="0.25">
      <c r="A22" s="20" t="s">
        <v>228</v>
      </c>
      <c r="B22" s="141"/>
      <c r="C22" s="35" t="s">
        <v>323</v>
      </c>
      <c r="D22" s="35"/>
      <c r="E22" s="36" t="s">
        <v>2065</v>
      </c>
      <c r="F22" s="20" t="s">
        <v>1637</v>
      </c>
      <c r="G22" s="20" t="s">
        <v>1517</v>
      </c>
      <c r="H22" s="38" t="s">
        <v>287</v>
      </c>
      <c r="I22" s="38" t="s">
        <v>66</v>
      </c>
      <c r="J22" s="38" t="s">
        <v>66</v>
      </c>
      <c r="K22" s="63" t="s">
        <v>243</v>
      </c>
      <c r="L22" s="38" t="s">
        <v>325</v>
      </c>
      <c r="M22" s="7">
        <v>9.99</v>
      </c>
      <c r="N22" s="37">
        <v>1</v>
      </c>
      <c r="O22" s="228">
        <v>48</v>
      </c>
      <c r="P22" s="35">
        <f>2.8/16</f>
        <v>0.17499999999999999</v>
      </c>
      <c r="Q22" s="35">
        <v>4.25</v>
      </c>
      <c r="R22" s="35">
        <v>3.375</v>
      </c>
      <c r="S22" s="72">
        <v>3.375</v>
      </c>
      <c r="T22" s="35">
        <f>CONVERT(130,"g","lbm")</f>
        <v>0.28660094084034082</v>
      </c>
      <c r="U22" s="35">
        <v>4.25</v>
      </c>
      <c r="V22" s="35">
        <v>3.875</v>
      </c>
      <c r="W22" s="72">
        <v>3.875</v>
      </c>
      <c r="X22" s="93" t="s">
        <v>66</v>
      </c>
      <c r="Y22" s="93" t="s">
        <v>66</v>
      </c>
      <c r="Z22" s="93" t="s">
        <v>66</v>
      </c>
      <c r="AA22" s="291" t="s">
        <v>66</v>
      </c>
      <c r="AB22" s="35">
        <v>15.75</v>
      </c>
      <c r="AC22" s="35">
        <v>16.25</v>
      </c>
      <c r="AD22" s="35">
        <v>13.5</v>
      </c>
      <c r="AE22" s="72">
        <v>16.5</v>
      </c>
      <c r="AF22" s="17">
        <f t="shared" ref="AF22:AF31" si="2">AC22*AD22*AE22/(12^3)</f>
        <v>2.0947265625</v>
      </c>
      <c r="AG22" s="82" t="s">
        <v>337</v>
      </c>
      <c r="AH22" s="82" t="s">
        <v>2150</v>
      </c>
      <c r="AI22" s="507" t="s">
        <v>2151</v>
      </c>
      <c r="AJ22" s="82"/>
      <c r="AK22" s="82"/>
      <c r="AL22" s="82"/>
      <c r="AM22" s="82"/>
      <c r="AN22" s="82"/>
      <c r="AO22" s="82" t="s">
        <v>340</v>
      </c>
      <c r="AP22" s="11" t="s">
        <v>2084</v>
      </c>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c r="IW22" s="20"/>
      <c r="IX22" s="20"/>
      <c r="IY22" s="20"/>
      <c r="IZ22" s="20"/>
      <c r="JA22" s="20"/>
      <c r="JB22" s="20"/>
      <c r="JC22" s="20"/>
      <c r="JD22" s="20"/>
      <c r="JE22" s="20"/>
      <c r="JF22" s="20"/>
      <c r="JG22" s="20"/>
      <c r="JH22" s="20"/>
      <c r="JI22" s="20"/>
      <c r="JJ22" s="20"/>
      <c r="JK22" s="20"/>
      <c r="JL22" s="20"/>
      <c r="JM22" s="20"/>
      <c r="JN22" s="20"/>
      <c r="JO22" s="20"/>
      <c r="JP22" s="20"/>
      <c r="JQ22" s="20"/>
      <c r="JR22" s="20"/>
      <c r="JS22" s="20"/>
      <c r="JT22" s="20"/>
      <c r="JU22" s="20"/>
      <c r="JV22" s="20"/>
      <c r="JW22" s="20"/>
      <c r="JX22" s="20"/>
      <c r="JY22" s="20"/>
      <c r="JZ22" s="20"/>
      <c r="KA22" s="20"/>
      <c r="KB22" s="20"/>
      <c r="KC22" s="20"/>
      <c r="KD22" s="20"/>
      <c r="KE22" s="20"/>
      <c r="KF22" s="20"/>
      <c r="KG22" s="20"/>
      <c r="KH22" s="20"/>
      <c r="KI22" s="20"/>
      <c r="KJ22" s="20"/>
      <c r="KK22" s="20"/>
      <c r="KL22" s="20"/>
      <c r="KM22" s="20"/>
      <c r="KN22" s="20"/>
      <c r="KO22" s="20"/>
      <c r="KP22" s="20"/>
      <c r="KQ22" s="20"/>
      <c r="KR22" s="20"/>
      <c r="KS22" s="20"/>
      <c r="KT22" s="20"/>
      <c r="KU22" s="20"/>
      <c r="KV22" s="20"/>
      <c r="KW22" s="20"/>
      <c r="KX22" s="20"/>
      <c r="KY22" s="20"/>
      <c r="KZ22" s="20"/>
      <c r="LA22" s="20"/>
      <c r="LB22" s="20"/>
      <c r="LC22" s="20"/>
      <c r="LD22" s="20"/>
      <c r="LE22" s="20"/>
      <c r="LF22" s="20"/>
      <c r="LG22" s="20"/>
      <c r="LH22" s="20"/>
      <c r="LI22" s="20"/>
      <c r="LJ22" s="20"/>
      <c r="LK22" s="20"/>
      <c r="LL22" s="20"/>
      <c r="LM22" s="20"/>
      <c r="LN22" s="20"/>
      <c r="LO22" s="20"/>
      <c r="LP22" s="20"/>
      <c r="LQ22" s="20"/>
      <c r="LR22" s="20"/>
      <c r="LS22" s="20"/>
      <c r="LT22" s="20"/>
      <c r="LU22" s="20"/>
      <c r="LV22" s="20"/>
      <c r="LW22" s="20"/>
    </row>
    <row r="23" spans="1:335" s="16" customFormat="1" x14ac:dyDescent="0.25">
      <c r="A23" s="20" t="s">
        <v>228</v>
      </c>
      <c r="B23" s="141"/>
      <c r="C23" s="20" t="s">
        <v>280</v>
      </c>
      <c r="D23" s="35"/>
      <c r="E23" s="61" t="s">
        <v>2066</v>
      </c>
      <c r="F23" s="20" t="s">
        <v>1637</v>
      </c>
      <c r="G23" s="20" t="s">
        <v>1517</v>
      </c>
      <c r="H23" s="62" t="s">
        <v>281</v>
      </c>
      <c r="I23" s="38" t="s">
        <v>66</v>
      </c>
      <c r="J23" s="38" t="s">
        <v>66</v>
      </c>
      <c r="K23" s="63" t="s">
        <v>241</v>
      </c>
      <c r="L23" s="38" t="s">
        <v>325</v>
      </c>
      <c r="M23" s="13">
        <v>69.989999999999995</v>
      </c>
      <c r="N23" s="37">
        <v>1</v>
      </c>
      <c r="O23" s="228">
        <v>36</v>
      </c>
      <c r="P23" s="35">
        <f>4/16</f>
        <v>0.25</v>
      </c>
      <c r="Q23" s="35">
        <v>5</v>
      </c>
      <c r="R23" s="35">
        <v>3.75</v>
      </c>
      <c r="S23" s="72">
        <v>4.375</v>
      </c>
      <c r="T23" s="35">
        <f>CONVERT(170,"g","lbm")</f>
        <v>0.37478584571429185</v>
      </c>
      <c r="U23" s="35">
        <v>4.1875</v>
      </c>
      <c r="V23" s="35">
        <v>4.1875</v>
      </c>
      <c r="W23" s="72">
        <v>5.125</v>
      </c>
      <c r="X23" s="93" t="s">
        <v>66</v>
      </c>
      <c r="Y23" s="93" t="s">
        <v>66</v>
      </c>
      <c r="Z23" s="93" t="s">
        <v>66</v>
      </c>
      <c r="AA23" s="291" t="s">
        <v>66</v>
      </c>
      <c r="AB23" s="35">
        <v>11.46</v>
      </c>
      <c r="AC23" s="35">
        <v>18.5</v>
      </c>
      <c r="AD23" s="35">
        <v>16.25</v>
      </c>
      <c r="AE23" s="72">
        <v>14.75</v>
      </c>
      <c r="AF23" s="17">
        <f t="shared" si="2"/>
        <v>2.5660988136574074</v>
      </c>
      <c r="AG23" s="82" t="s">
        <v>334</v>
      </c>
      <c r="AH23" s="82" t="s">
        <v>2152</v>
      </c>
      <c r="AI23" s="82" t="s">
        <v>2153</v>
      </c>
      <c r="AJ23" s="82" t="s">
        <v>2154</v>
      </c>
      <c r="AK23" s="82"/>
      <c r="AL23" s="82" t="s">
        <v>2155</v>
      </c>
      <c r="AM23" s="82"/>
      <c r="AN23" s="82"/>
      <c r="AO23" s="82" t="s">
        <v>336</v>
      </c>
      <c r="AP23" s="11" t="s">
        <v>2084</v>
      </c>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c r="IW23" s="20"/>
      <c r="IX23" s="20"/>
      <c r="IY23" s="20"/>
      <c r="IZ23" s="20"/>
      <c r="JA23" s="20"/>
      <c r="JB23" s="20"/>
      <c r="JC23" s="20"/>
      <c r="JD23" s="20"/>
      <c r="JE23" s="20"/>
      <c r="JF23" s="20"/>
      <c r="JG23" s="20"/>
      <c r="JH23" s="20"/>
      <c r="JI23" s="20"/>
      <c r="JJ23" s="20"/>
      <c r="JK23" s="20"/>
      <c r="JL23" s="20"/>
      <c r="JM23" s="20"/>
      <c r="JN23" s="20"/>
      <c r="JO23" s="20"/>
      <c r="JP23" s="20"/>
      <c r="JQ23" s="20"/>
      <c r="JR23" s="20"/>
      <c r="JS23" s="20"/>
      <c r="JT23" s="20"/>
      <c r="JU23" s="20"/>
      <c r="JV23" s="20"/>
      <c r="JW23" s="20"/>
      <c r="JX23" s="20"/>
      <c r="JY23" s="20"/>
      <c r="JZ23" s="20"/>
      <c r="KA23" s="20"/>
      <c r="KB23" s="20"/>
      <c r="KC23" s="20"/>
      <c r="KD23" s="20"/>
      <c r="KE23" s="20"/>
      <c r="KF23" s="20"/>
      <c r="KG23" s="20"/>
      <c r="KH23" s="20"/>
      <c r="KI23" s="20"/>
      <c r="KJ23" s="20"/>
      <c r="KK23" s="20"/>
      <c r="KL23" s="20"/>
      <c r="KM23" s="20"/>
      <c r="KN23" s="20"/>
      <c r="KO23" s="20"/>
      <c r="KP23" s="20"/>
      <c r="KQ23" s="20"/>
      <c r="KR23" s="20"/>
      <c r="KS23" s="20"/>
      <c r="KT23" s="20"/>
      <c r="KU23" s="20"/>
      <c r="KV23" s="20"/>
      <c r="KW23" s="20"/>
      <c r="KX23" s="20"/>
      <c r="KY23" s="20"/>
      <c r="KZ23" s="20"/>
      <c r="LA23" s="20"/>
      <c r="LB23" s="20"/>
      <c r="LC23" s="20"/>
      <c r="LD23" s="20"/>
      <c r="LE23" s="20"/>
      <c r="LF23" s="20"/>
      <c r="LG23" s="20"/>
      <c r="LH23" s="20"/>
      <c r="LI23" s="20"/>
      <c r="LJ23" s="20"/>
      <c r="LK23" s="20"/>
      <c r="LL23" s="20"/>
      <c r="LM23" s="20"/>
      <c r="LN23" s="20"/>
      <c r="LO23" s="20"/>
      <c r="LP23" s="20"/>
      <c r="LQ23" s="20"/>
      <c r="LR23" s="20"/>
      <c r="LS23" s="20"/>
      <c r="LT23" s="20"/>
      <c r="LU23" s="20"/>
      <c r="LV23" s="20"/>
      <c r="LW23" s="20"/>
    </row>
    <row r="24" spans="1:335" x14ac:dyDescent="0.25">
      <c r="A24" s="20" t="s">
        <v>228</v>
      </c>
      <c r="B24" s="141"/>
      <c r="C24" s="20" t="s">
        <v>353</v>
      </c>
      <c r="D24" s="35"/>
      <c r="E24" s="61" t="s">
        <v>2067</v>
      </c>
      <c r="F24" s="20" t="s">
        <v>1637</v>
      </c>
      <c r="G24" s="20" t="s">
        <v>1517</v>
      </c>
      <c r="H24" s="62" t="s">
        <v>354</v>
      </c>
      <c r="I24" s="38" t="s">
        <v>66</v>
      </c>
      <c r="J24" s="38" t="s">
        <v>66</v>
      </c>
      <c r="K24" s="63" t="s">
        <v>243</v>
      </c>
      <c r="L24" s="38" t="s">
        <v>325</v>
      </c>
      <c r="M24" s="13">
        <v>29.99</v>
      </c>
      <c r="N24" s="37">
        <v>1</v>
      </c>
      <c r="O24" s="228">
        <v>12</v>
      </c>
      <c r="P24" s="35">
        <f>CONVERT(174,"g","lbm")</f>
        <v>0.38360433620168699</v>
      </c>
      <c r="Q24" s="35">
        <v>5.9</v>
      </c>
      <c r="R24" s="35">
        <v>5.9</v>
      </c>
      <c r="S24" s="72">
        <v>3.9</v>
      </c>
      <c r="T24" s="35">
        <f>CONVERT(285,"g","lbm")</f>
        <v>0.62831744722690108</v>
      </c>
      <c r="U24" s="35">
        <v>6.375</v>
      </c>
      <c r="V24" s="35">
        <v>6.375</v>
      </c>
      <c r="W24" s="72">
        <v>4.3875000000000002</v>
      </c>
      <c r="X24" s="93" t="s">
        <v>66</v>
      </c>
      <c r="Y24" s="93" t="s">
        <v>66</v>
      </c>
      <c r="Z24" s="93" t="s">
        <v>66</v>
      </c>
      <c r="AA24" s="291" t="s">
        <v>66</v>
      </c>
      <c r="AB24" s="35">
        <v>9.3000000000000007</v>
      </c>
      <c r="AC24" s="35">
        <v>9.5</v>
      </c>
      <c r="AD24" s="35">
        <v>13</v>
      </c>
      <c r="AE24" s="72">
        <v>20</v>
      </c>
      <c r="AF24" s="17">
        <f t="shared" si="2"/>
        <v>1.4293981481481481</v>
      </c>
      <c r="AG24" s="82" t="s">
        <v>2156</v>
      </c>
      <c r="AH24" s="82"/>
      <c r="AI24" s="82" t="s">
        <v>2157</v>
      </c>
      <c r="AJ24" s="82" t="s">
        <v>2160</v>
      </c>
      <c r="AK24" s="82"/>
      <c r="AL24" s="82"/>
      <c r="AM24" s="82"/>
      <c r="AN24" s="82"/>
      <c r="AO24" s="82" t="s">
        <v>2158</v>
      </c>
      <c r="AP24" s="11" t="s">
        <v>2084</v>
      </c>
      <c r="AQ24" s="20"/>
    </row>
    <row r="25" spans="1:335" s="16" customFormat="1" x14ac:dyDescent="0.25">
      <c r="A25" s="20" t="s">
        <v>228</v>
      </c>
      <c r="B25" s="141"/>
      <c r="C25" s="20" t="s">
        <v>282</v>
      </c>
      <c r="D25" s="35"/>
      <c r="E25" s="61" t="s">
        <v>2068</v>
      </c>
      <c r="F25" s="20" t="s">
        <v>1637</v>
      </c>
      <c r="G25" s="20" t="s">
        <v>1517</v>
      </c>
      <c r="H25" s="62" t="s">
        <v>283</v>
      </c>
      <c r="I25" s="38" t="s">
        <v>66</v>
      </c>
      <c r="J25" s="38" t="s">
        <v>66</v>
      </c>
      <c r="K25" s="63" t="s">
        <v>243</v>
      </c>
      <c r="L25" s="38" t="s">
        <v>325</v>
      </c>
      <c r="M25" s="13">
        <v>29.99</v>
      </c>
      <c r="N25" s="37">
        <v>1</v>
      </c>
      <c r="O25" s="228">
        <v>12</v>
      </c>
      <c r="P25" s="35">
        <f>CONVERT(140,"g","lbm")</f>
        <v>0.30864716705882861</v>
      </c>
      <c r="Q25" s="35">
        <v>5.9</v>
      </c>
      <c r="R25" s="35">
        <v>5.9</v>
      </c>
      <c r="S25" s="72">
        <v>3</v>
      </c>
      <c r="T25" s="35">
        <f>CONVERT(200,"g","lbm")</f>
        <v>0.44092452436975516</v>
      </c>
      <c r="U25" s="35">
        <v>5.25</v>
      </c>
      <c r="V25" s="35">
        <v>5.25</v>
      </c>
      <c r="W25" s="72">
        <v>3.125</v>
      </c>
      <c r="X25" s="93" t="s">
        <v>66</v>
      </c>
      <c r="Y25" s="93" t="s">
        <v>66</v>
      </c>
      <c r="Z25" s="93" t="s">
        <v>66</v>
      </c>
      <c r="AA25" s="291" t="s">
        <v>66</v>
      </c>
      <c r="AB25" s="35">
        <v>6.62</v>
      </c>
      <c r="AC25" s="35">
        <v>16.55</v>
      </c>
      <c r="AD25" s="35">
        <v>11.25</v>
      </c>
      <c r="AE25" s="72">
        <v>7.15</v>
      </c>
      <c r="AF25" s="17">
        <f t="shared" si="2"/>
        <v>0.77039388020833344</v>
      </c>
      <c r="AG25" s="82" t="s">
        <v>2156</v>
      </c>
      <c r="AH25" s="82"/>
      <c r="AI25" s="82" t="s">
        <v>2157</v>
      </c>
      <c r="AJ25" s="82" t="s">
        <v>2162</v>
      </c>
      <c r="AK25" s="82" t="s">
        <v>2161</v>
      </c>
      <c r="AL25" s="82"/>
      <c r="AM25" s="82"/>
      <c r="AN25" s="82"/>
      <c r="AO25" s="82" t="s">
        <v>2159</v>
      </c>
      <c r="AP25" s="11" t="s">
        <v>2084</v>
      </c>
      <c r="AQ25" s="20"/>
      <c r="AR25" s="22"/>
      <c r="AS25" s="22"/>
      <c r="AT25" s="22"/>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row>
    <row r="26" spans="1:335" s="304" customFormat="1" x14ac:dyDescent="0.25">
      <c r="A26" s="20" t="s">
        <v>228</v>
      </c>
      <c r="B26" s="141"/>
      <c r="C26" s="39" t="s">
        <v>660</v>
      </c>
      <c r="D26" s="35"/>
      <c r="E26" s="39" t="s">
        <v>2069</v>
      </c>
      <c r="F26" s="20" t="s">
        <v>1637</v>
      </c>
      <c r="G26" s="20" t="s">
        <v>1517</v>
      </c>
      <c r="H26" s="38" t="s">
        <v>661</v>
      </c>
      <c r="I26" s="38" t="s">
        <v>66</v>
      </c>
      <c r="J26" s="38" t="s">
        <v>66</v>
      </c>
      <c r="K26" s="63" t="s">
        <v>243</v>
      </c>
      <c r="L26" s="38" t="s">
        <v>325</v>
      </c>
      <c r="M26" s="7">
        <v>59.99</v>
      </c>
      <c r="N26" s="37">
        <v>1</v>
      </c>
      <c r="O26" s="228">
        <v>12</v>
      </c>
      <c r="P26" s="35">
        <f>16.1/16</f>
        <v>1.0062500000000001</v>
      </c>
      <c r="Q26" s="35" t="s">
        <v>66</v>
      </c>
      <c r="R26" s="35" t="s">
        <v>66</v>
      </c>
      <c r="S26" s="72" t="s">
        <v>66</v>
      </c>
      <c r="T26" s="35">
        <f>CONVERT(650,"g","lbm")</f>
        <v>1.4330047042017042</v>
      </c>
      <c r="U26" s="35">
        <v>8.375</v>
      </c>
      <c r="V26" s="35">
        <v>5.375</v>
      </c>
      <c r="W26" s="72">
        <v>8.375</v>
      </c>
      <c r="X26" s="93" t="s">
        <v>66</v>
      </c>
      <c r="Y26" s="93" t="s">
        <v>66</v>
      </c>
      <c r="Z26" s="93" t="s">
        <v>66</v>
      </c>
      <c r="AA26" s="291" t="s">
        <v>66</v>
      </c>
      <c r="AB26" s="35">
        <v>18.850000000000001</v>
      </c>
      <c r="AC26" s="35">
        <v>26</v>
      </c>
      <c r="AD26" s="35">
        <v>11.5</v>
      </c>
      <c r="AE26" s="72">
        <v>17.75</v>
      </c>
      <c r="AF26" s="17">
        <f t="shared" si="2"/>
        <v>3.0713252314814814</v>
      </c>
      <c r="AG26" s="61" t="s">
        <v>2163</v>
      </c>
      <c r="AH26" s="20" t="s">
        <v>2164</v>
      </c>
      <c r="AI26" s="61" t="s">
        <v>337</v>
      </c>
      <c r="AJ26" s="20" t="s">
        <v>2165</v>
      </c>
      <c r="AK26" s="20" t="s">
        <v>335</v>
      </c>
      <c r="AL26" s="20" t="s">
        <v>2166</v>
      </c>
      <c r="AM26" s="20"/>
      <c r="AN26" s="20"/>
      <c r="AO26" s="39" t="s">
        <v>2167</v>
      </c>
      <c r="AP26" s="11" t="s">
        <v>2084</v>
      </c>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c r="IW26" s="20"/>
      <c r="IX26" s="20"/>
      <c r="IY26" s="20"/>
      <c r="IZ26" s="20"/>
      <c r="JA26" s="20"/>
      <c r="JB26" s="20"/>
      <c r="JC26" s="20"/>
      <c r="JD26" s="20"/>
      <c r="JE26" s="20"/>
      <c r="JF26" s="20"/>
      <c r="JG26" s="20"/>
      <c r="JH26" s="20"/>
      <c r="JI26" s="20"/>
      <c r="JJ26" s="20"/>
      <c r="JK26" s="20"/>
      <c r="JL26" s="20"/>
      <c r="JM26" s="20"/>
      <c r="JN26" s="20"/>
      <c r="JO26" s="20"/>
      <c r="JP26" s="20"/>
      <c r="JQ26" s="20"/>
      <c r="JR26" s="20"/>
      <c r="JS26" s="20"/>
      <c r="JT26" s="20"/>
      <c r="JU26" s="20"/>
      <c r="JV26" s="20"/>
      <c r="JW26" s="20"/>
      <c r="JX26" s="20"/>
      <c r="JY26" s="20"/>
      <c r="JZ26" s="20"/>
      <c r="KA26" s="20"/>
      <c r="KB26" s="20"/>
      <c r="KC26" s="20"/>
      <c r="KD26" s="20"/>
      <c r="KE26" s="20"/>
      <c r="KF26" s="20"/>
      <c r="KG26" s="20"/>
      <c r="KH26" s="20"/>
      <c r="KI26" s="20"/>
      <c r="KJ26" s="20"/>
      <c r="KK26" s="20"/>
      <c r="KL26" s="20"/>
      <c r="KM26" s="20"/>
      <c r="KN26" s="20"/>
      <c r="KO26" s="20"/>
      <c r="KP26" s="20"/>
      <c r="KQ26" s="20"/>
      <c r="KR26" s="20"/>
      <c r="KS26" s="20"/>
      <c r="KT26" s="20"/>
      <c r="KU26" s="20"/>
      <c r="KV26" s="20"/>
      <c r="KW26" s="20"/>
      <c r="KX26" s="20"/>
      <c r="KY26" s="20"/>
      <c r="KZ26" s="20"/>
      <c r="LA26" s="20"/>
      <c r="LB26" s="20"/>
      <c r="LC26" s="20"/>
      <c r="LD26" s="20"/>
      <c r="LE26" s="20"/>
      <c r="LF26" s="20"/>
      <c r="LG26" s="20"/>
      <c r="LH26" s="20"/>
      <c r="LI26" s="20"/>
      <c r="LJ26" s="20"/>
      <c r="LK26" s="20"/>
      <c r="LL26" s="20"/>
      <c r="LM26" s="20"/>
      <c r="LN26" s="20"/>
      <c r="LO26" s="20"/>
      <c r="LP26" s="20"/>
      <c r="LQ26" s="20"/>
      <c r="LR26" s="20"/>
      <c r="LS26" s="20"/>
      <c r="LT26" s="20"/>
      <c r="LU26" s="20"/>
      <c r="LV26" s="20"/>
      <c r="LW26" s="20"/>
    </row>
    <row r="27" spans="1:335" s="16" customFormat="1" x14ac:dyDescent="0.25">
      <c r="A27" s="20" t="s">
        <v>228</v>
      </c>
      <c r="B27" s="141"/>
      <c r="C27" s="20" t="s">
        <v>322</v>
      </c>
      <c r="D27" s="35"/>
      <c r="E27" s="61" t="s">
        <v>2070</v>
      </c>
      <c r="F27" s="20" t="s">
        <v>649</v>
      </c>
      <c r="G27" s="20" t="s">
        <v>1517</v>
      </c>
      <c r="H27" s="62" t="s">
        <v>284</v>
      </c>
      <c r="I27" s="38" t="s">
        <v>66</v>
      </c>
      <c r="J27" s="38" t="s">
        <v>66</v>
      </c>
      <c r="K27" s="63" t="s">
        <v>243</v>
      </c>
      <c r="L27" s="38" t="s">
        <v>325</v>
      </c>
      <c r="M27" s="13">
        <v>49.99</v>
      </c>
      <c r="N27" s="37">
        <v>1</v>
      </c>
      <c r="O27" s="228">
        <v>24</v>
      </c>
      <c r="P27" s="35">
        <f>10.8/16</f>
        <v>0.67500000000000004</v>
      </c>
      <c r="Q27" s="35">
        <v>4.25</v>
      </c>
      <c r="R27" s="35">
        <v>2.25</v>
      </c>
      <c r="S27" s="72">
        <v>4.625</v>
      </c>
      <c r="T27" s="35">
        <f>CONVERT(380,"g","lbm")</f>
        <v>0.83775659630253474</v>
      </c>
      <c r="U27" s="35">
        <v>4</v>
      </c>
      <c r="V27" s="35">
        <v>4</v>
      </c>
      <c r="W27" s="72">
        <v>6.75</v>
      </c>
      <c r="X27" s="93" t="s">
        <v>66</v>
      </c>
      <c r="Y27" s="93" t="s">
        <v>66</v>
      </c>
      <c r="Z27" s="93" t="s">
        <v>66</v>
      </c>
      <c r="AA27" s="291" t="s">
        <v>66</v>
      </c>
      <c r="AB27" s="35">
        <v>22</v>
      </c>
      <c r="AC27" s="35">
        <v>16.5</v>
      </c>
      <c r="AD27" s="35">
        <v>12.5</v>
      </c>
      <c r="AE27" s="72">
        <v>10.5</v>
      </c>
      <c r="AF27" s="17">
        <f t="shared" si="2"/>
        <v>1.2532552083333333</v>
      </c>
      <c r="AG27" s="82" t="s">
        <v>2169</v>
      </c>
      <c r="AH27" s="82" t="s">
        <v>338</v>
      </c>
      <c r="AI27" s="82" t="s">
        <v>339</v>
      </c>
      <c r="AJ27" s="82" t="s">
        <v>335</v>
      </c>
      <c r="AK27" s="82" t="s">
        <v>2170</v>
      </c>
      <c r="AL27" s="82" t="s">
        <v>2171</v>
      </c>
      <c r="AM27" s="82"/>
      <c r="AN27" s="82"/>
      <c r="AO27" s="507" t="s">
        <v>2168</v>
      </c>
      <c r="AP27" s="11" t="s">
        <v>2084</v>
      </c>
      <c r="AQ27" s="20"/>
    </row>
    <row r="28" spans="1:335" s="16" customFormat="1" x14ac:dyDescent="0.25">
      <c r="A28" s="20" t="s">
        <v>228</v>
      </c>
      <c r="B28" s="141"/>
      <c r="C28" s="20" t="s">
        <v>1995</v>
      </c>
      <c r="D28" s="35"/>
      <c r="E28" s="61" t="s">
        <v>2071</v>
      </c>
      <c r="F28" s="20" t="s">
        <v>415</v>
      </c>
      <c r="G28" s="290" t="s">
        <v>1507</v>
      </c>
      <c r="H28" s="62" t="s">
        <v>2061</v>
      </c>
      <c r="I28" s="495"/>
      <c r="J28" s="495"/>
      <c r="K28" s="63" t="s">
        <v>1725</v>
      </c>
      <c r="L28" s="38" t="s">
        <v>325</v>
      </c>
      <c r="M28" s="487"/>
      <c r="N28" s="37">
        <v>1</v>
      </c>
      <c r="O28" s="228">
        <v>50</v>
      </c>
      <c r="P28" s="135">
        <f>CONVERT(20,"g","lbm")</f>
        <v>4.4092452436975516E-2</v>
      </c>
      <c r="Q28" s="135"/>
      <c r="R28" s="135"/>
      <c r="S28" s="136"/>
      <c r="T28" s="135"/>
      <c r="U28" s="135"/>
      <c r="V28" s="135"/>
      <c r="W28" s="136"/>
      <c r="X28" s="263"/>
      <c r="Y28" s="263"/>
      <c r="Z28" s="263"/>
      <c r="AA28" s="264"/>
      <c r="AB28" s="135"/>
      <c r="AC28" s="135"/>
      <c r="AD28" s="135"/>
      <c r="AE28" s="136"/>
      <c r="AF28" s="135">
        <f t="shared" si="2"/>
        <v>0</v>
      </c>
      <c r="AG28" s="488" t="s">
        <v>334</v>
      </c>
      <c r="AH28" s="488" t="s">
        <v>2174</v>
      </c>
      <c r="AI28" s="488" t="s">
        <v>2173</v>
      </c>
      <c r="AJ28" s="488" t="s">
        <v>2175</v>
      </c>
      <c r="AK28" s="61"/>
      <c r="AL28" s="61"/>
      <c r="AM28" s="61"/>
      <c r="AN28" s="61"/>
      <c r="AO28" s="488" t="s">
        <v>2179</v>
      </c>
      <c r="AP28" s="11" t="s">
        <v>2084</v>
      </c>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c r="IW28" s="20"/>
      <c r="IX28" s="20"/>
      <c r="IY28" s="20"/>
      <c r="IZ28" s="20"/>
      <c r="JA28" s="20"/>
      <c r="JB28" s="20"/>
      <c r="JC28" s="20"/>
      <c r="JD28" s="20"/>
      <c r="JE28" s="20"/>
      <c r="JF28" s="20"/>
      <c r="JG28" s="20"/>
      <c r="JH28" s="20"/>
      <c r="JI28" s="20"/>
      <c r="JJ28" s="20"/>
      <c r="JK28" s="20"/>
      <c r="JL28" s="20"/>
      <c r="JM28" s="20"/>
      <c r="JN28" s="20"/>
      <c r="JO28" s="20"/>
      <c r="JP28" s="20"/>
      <c r="JQ28" s="20"/>
      <c r="JR28" s="20"/>
      <c r="JS28" s="20"/>
      <c r="JT28" s="20"/>
      <c r="JU28" s="20"/>
      <c r="JV28" s="20"/>
      <c r="JW28" s="20"/>
      <c r="JX28" s="20"/>
      <c r="JY28" s="20"/>
      <c r="JZ28" s="20"/>
      <c r="KA28" s="20"/>
      <c r="KB28" s="20"/>
      <c r="KC28" s="20"/>
      <c r="KD28" s="20"/>
      <c r="KE28" s="20"/>
      <c r="KF28" s="20"/>
      <c r="KG28" s="20"/>
      <c r="KH28" s="20"/>
      <c r="KI28" s="20"/>
      <c r="KJ28" s="20"/>
      <c r="KK28" s="20"/>
      <c r="KL28" s="20"/>
      <c r="KM28" s="20"/>
      <c r="KN28" s="20"/>
      <c r="KO28" s="20"/>
      <c r="KP28" s="20"/>
      <c r="KQ28" s="20"/>
      <c r="KR28" s="20"/>
      <c r="KS28" s="20"/>
      <c r="KT28" s="20"/>
      <c r="KU28" s="20"/>
      <c r="KV28" s="20"/>
      <c r="KW28" s="20"/>
      <c r="KX28" s="20"/>
      <c r="KY28" s="20"/>
      <c r="KZ28" s="20"/>
      <c r="LA28" s="20"/>
      <c r="LB28" s="20"/>
      <c r="LC28" s="20"/>
      <c r="LD28" s="20"/>
      <c r="LE28" s="20"/>
      <c r="LF28" s="20"/>
      <c r="LG28" s="20"/>
      <c r="LH28" s="20"/>
      <c r="LI28" s="20"/>
      <c r="LJ28" s="20"/>
      <c r="LK28" s="20"/>
      <c r="LL28" s="20"/>
      <c r="LM28" s="20"/>
      <c r="LN28" s="20"/>
      <c r="LO28" s="20"/>
      <c r="LP28" s="20"/>
      <c r="LQ28" s="20"/>
      <c r="LR28" s="20"/>
      <c r="LS28" s="20"/>
      <c r="LT28" s="20"/>
      <c r="LU28" s="20"/>
      <c r="LV28" s="20"/>
      <c r="LW28" s="20"/>
    </row>
    <row r="29" spans="1:335" s="16" customFormat="1" x14ac:dyDescent="0.25">
      <c r="A29" s="20" t="s">
        <v>228</v>
      </c>
      <c r="B29" s="141"/>
      <c r="C29" s="20" t="s">
        <v>1996</v>
      </c>
      <c r="D29" s="35"/>
      <c r="E29" s="61" t="s">
        <v>2072</v>
      </c>
      <c r="F29" s="20" t="s">
        <v>415</v>
      </c>
      <c r="G29" s="290" t="s">
        <v>1507</v>
      </c>
      <c r="H29" s="62" t="s">
        <v>2062</v>
      </c>
      <c r="I29" s="495"/>
      <c r="J29" s="495"/>
      <c r="K29" s="63" t="s">
        <v>1725</v>
      </c>
      <c r="L29" s="38" t="s">
        <v>325</v>
      </c>
      <c r="M29" s="487"/>
      <c r="N29" s="37">
        <v>1</v>
      </c>
      <c r="O29" s="228">
        <v>50</v>
      </c>
      <c r="P29" s="35">
        <f>CONVERT(15,"g","lbm")</f>
        <v>3.3069339327731637E-2</v>
      </c>
      <c r="Q29" s="35">
        <v>0.75</v>
      </c>
      <c r="R29" s="35">
        <v>0.375</v>
      </c>
      <c r="S29" s="72">
        <v>7</v>
      </c>
      <c r="T29" s="135"/>
      <c r="U29" s="135"/>
      <c r="V29" s="135"/>
      <c r="W29" s="136"/>
      <c r="X29" s="263"/>
      <c r="Y29" s="263"/>
      <c r="Z29" s="263"/>
      <c r="AA29" s="264"/>
      <c r="AB29" s="135"/>
      <c r="AC29" s="135"/>
      <c r="AD29" s="135"/>
      <c r="AE29" s="136"/>
      <c r="AF29" s="135">
        <f t="shared" si="2"/>
        <v>0</v>
      </c>
      <c r="AG29" s="488" t="s">
        <v>334</v>
      </c>
      <c r="AH29" s="488" t="s">
        <v>2174</v>
      </c>
      <c r="AI29" s="488" t="s">
        <v>2172</v>
      </c>
      <c r="AJ29" s="488" t="s">
        <v>2176</v>
      </c>
      <c r="AK29" s="61"/>
      <c r="AL29" s="61"/>
      <c r="AM29" s="61"/>
      <c r="AN29" s="61"/>
      <c r="AO29" s="488" t="s">
        <v>2180</v>
      </c>
      <c r="AP29" s="11" t="s">
        <v>2084</v>
      </c>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c r="IW29" s="20"/>
      <c r="IX29" s="20"/>
      <c r="IY29" s="20"/>
      <c r="IZ29" s="20"/>
      <c r="JA29" s="20"/>
      <c r="JB29" s="20"/>
      <c r="JC29" s="20"/>
      <c r="JD29" s="20"/>
      <c r="JE29" s="20"/>
      <c r="JF29" s="20"/>
      <c r="JG29" s="20"/>
      <c r="JH29" s="20"/>
      <c r="JI29" s="20"/>
      <c r="JJ29" s="20"/>
      <c r="JK29" s="20"/>
      <c r="JL29" s="20"/>
      <c r="JM29" s="20"/>
      <c r="JN29" s="20"/>
      <c r="JO29" s="20"/>
      <c r="JP29" s="20"/>
      <c r="JQ29" s="20"/>
      <c r="JR29" s="20"/>
      <c r="JS29" s="20"/>
      <c r="JT29" s="20"/>
      <c r="JU29" s="20"/>
      <c r="JV29" s="20"/>
      <c r="JW29" s="20"/>
      <c r="JX29" s="20"/>
      <c r="JY29" s="20"/>
      <c r="JZ29" s="20"/>
      <c r="KA29" s="20"/>
      <c r="KB29" s="20"/>
      <c r="KC29" s="20"/>
      <c r="KD29" s="20"/>
      <c r="KE29" s="20"/>
      <c r="KF29" s="20"/>
      <c r="KG29" s="20"/>
      <c r="KH29" s="20"/>
      <c r="KI29" s="20"/>
      <c r="KJ29" s="20"/>
      <c r="KK29" s="20"/>
      <c r="KL29" s="20"/>
      <c r="KM29" s="20"/>
      <c r="KN29" s="20"/>
      <c r="KO29" s="20"/>
      <c r="KP29" s="20"/>
      <c r="KQ29" s="20"/>
      <c r="KR29" s="20"/>
      <c r="KS29" s="20"/>
      <c r="KT29" s="20"/>
      <c r="KU29" s="20"/>
      <c r="KV29" s="20"/>
      <c r="KW29" s="20"/>
      <c r="KX29" s="20"/>
      <c r="KY29" s="20"/>
      <c r="KZ29" s="20"/>
      <c r="LA29" s="20"/>
      <c r="LB29" s="20"/>
      <c r="LC29" s="20"/>
      <c r="LD29" s="20"/>
      <c r="LE29" s="20"/>
      <c r="LF29" s="20"/>
      <c r="LG29" s="20"/>
      <c r="LH29" s="20"/>
      <c r="LI29" s="20"/>
      <c r="LJ29" s="20"/>
      <c r="LK29" s="20"/>
      <c r="LL29" s="20"/>
      <c r="LM29" s="20"/>
      <c r="LN29" s="20"/>
      <c r="LO29" s="20"/>
      <c r="LP29" s="20"/>
      <c r="LQ29" s="20"/>
      <c r="LR29" s="20"/>
      <c r="LS29" s="20"/>
      <c r="LT29" s="20"/>
      <c r="LU29" s="20"/>
      <c r="LV29" s="20"/>
      <c r="LW29" s="20"/>
    </row>
    <row r="30" spans="1:335" s="16" customFormat="1" x14ac:dyDescent="0.25">
      <c r="A30" s="20" t="s">
        <v>228</v>
      </c>
      <c r="B30" s="141"/>
      <c r="C30" s="20" t="s">
        <v>1997</v>
      </c>
      <c r="D30" s="35"/>
      <c r="E30" s="61" t="s">
        <v>2073</v>
      </c>
      <c r="F30" s="20" t="s">
        <v>415</v>
      </c>
      <c r="G30" s="290" t="s">
        <v>1507</v>
      </c>
      <c r="H30" s="62" t="s">
        <v>2063</v>
      </c>
      <c r="I30" s="495"/>
      <c r="J30" s="495"/>
      <c r="K30" s="63" t="s">
        <v>1725</v>
      </c>
      <c r="L30" s="38" t="s">
        <v>325</v>
      </c>
      <c r="M30" s="487"/>
      <c r="N30" s="37">
        <v>1</v>
      </c>
      <c r="O30" s="228">
        <v>50</v>
      </c>
      <c r="P30" s="35">
        <f>CONVERT(20,"g","lbm")</f>
        <v>4.4092452436975516E-2</v>
      </c>
      <c r="Q30" s="35">
        <v>1.625</v>
      </c>
      <c r="R30" s="35">
        <v>0.5</v>
      </c>
      <c r="S30" s="72">
        <v>7.125</v>
      </c>
      <c r="T30" s="135"/>
      <c r="U30" s="135"/>
      <c r="V30" s="135"/>
      <c r="W30" s="136"/>
      <c r="X30" s="263"/>
      <c r="Y30" s="263"/>
      <c r="Z30" s="263"/>
      <c r="AA30" s="264"/>
      <c r="AB30" s="135"/>
      <c r="AC30" s="135"/>
      <c r="AD30" s="135"/>
      <c r="AE30" s="136"/>
      <c r="AF30" s="135">
        <f t="shared" si="2"/>
        <v>0</v>
      </c>
      <c r="AG30" s="488" t="s">
        <v>334</v>
      </c>
      <c r="AH30" s="488" t="s">
        <v>2174</v>
      </c>
      <c r="AI30" s="488" t="s">
        <v>2173</v>
      </c>
      <c r="AJ30" s="488" t="s">
        <v>2177</v>
      </c>
      <c r="AK30" s="61"/>
      <c r="AL30" s="61"/>
      <c r="AM30" s="61"/>
      <c r="AN30" s="61"/>
      <c r="AO30" s="488" t="s">
        <v>2178</v>
      </c>
      <c r="AP30" s="11" t="s">
        <v>2084</v>
      </c>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c r="IV30" s="20"/>
      <c r="IW30" s="20"/>
      <c r="IX30" s="20"/>
      <c r="IY30" s="20"/>
      <c r="IZ30" s="20"/>
      <c r="JA30" s="20"/>
      <c r="JB30" s="20"/>
      <c r="JC30" s="20"/>
      <c r="JD30" s="20"/>
      <c r="JE30" s="20"/>
      <c r="JF30" s="20"/>
      <c r="JG30" s="20"/>
      <c r="JH30" s="20"/>
      <c r="JI30" s="20"/>
      <c r="JJ30" s="20"/>
      <c r="JK30" s="20"/>
      <c r="JL30" s="20"/>
      <c r="JM30" s="20"/>
      <c r="JN30" s="20"/>
      <c r="JO30" s="20"/>
      <c r="JP30" s="20"/>
      <c r="JQ30" s="20"/>
      <c r="JR30" s="20"/>
      <c r="JS30" s="20"/>
      <c r="JT30" s="20"/>
      <c r="JU30" s="20"/>
      <c r="JV30" s="20"/>
      <c r="JW30" s="20"/>
      <c r="JX30" s="20"/>
      <c r="JY30" s="20"/>
      <c r="JZ30" s="20"/>
      <c r="KA30" s="20"/>
      <c r="KB30" s="20"/>
      <c r="KC30" s="20"/>
      <c r="KD30" s="20"/>
      <c r="KE30" s="20"/>
      <c r="KF30" s="20"/>
      <c r="KG30" s="20"/>
      <c r="KH30" s="20"/>
      <c r="KI30" s="20"/>
      <c r="KJ30" s="20"/>
      <c r="KK30" s="20"/>
      <c r="KL30" s="20"/>
      <c r="KM30" s="20"/>
      <c r="KN30" s="20"/>
      <c r="KO30" s="20"/>
      <c r="KP30" s="20"/>
      <c r="KQ30" s="20"/>
      <c r="KR30" s="20"/>
      <c r="KS30" s="20"/>
      <c r="KT30" s="20"/>
      <c r="KU30" s="20"/>
      <c r="KV30" s="20"/>
      <c r="KW30" s="20"/>
      <c r="KX30" s="20"/>
      <c r="KY30" s="20"/>
      <c r="KZ30" s="20"/>
      <c r="LA30" s="20"/>
      <c r="LB30" s="20"/>
      <c r="LC30" s="20"/>
      <c r="LD30" s="20"/>
      <c r="LE30" s="20"/>
      <c r="LF30" s="20"/>
      <c r="LG30" s="20"/>
      <c r="LH30" s="20"/>
      <c r="LI30" s="20"/>
      <c r="LJ30" s="20"/>
      <c r="LK30" s="20"/>
      <c r="LL30" s="20"/>
      <c r="LM30" s="20"/>
      <c r="LN30" s="20"/>
      <c r="LO30" s="20"/>
      <c r="LP30" s="20"/>
      <c r="LQ30" s="20"/>
      <c r="LR30" s="20"/>
      <c r="LS30" s="20"/>
      <c r="LT30" s="20"/>
      <c r="LU30" s="20"/>
      <c r="LV30" s="20"/>
      <c r="LW30" s="20"/>
    </row>
    <row r="31" spans="1:335" x14ac:dyDescent="0.25">
      <c r="A31" s="20" t="s">
        <v>228</v>
      </c>
      <c r="B31" s="141"/>
      <c r="C31" s="20" t="s">
        <v>1998</v>
      </c>
      <c r="D31" s="35"/>
      <c r="E31" s="61" t="s">
        <v>1999</v>
      </c>
      <c r="F31" s="20" t="s">
        <v>415</v>
      </c>
      <c r="G31" s="290" t="s">
        <v>1507</v>
      </c>
      <c r="H31" s="62" t="s">
        <v>2064</v>
      </c>
      <c r="I31" s="495"/>
      <c r="J31" s="495"/>
      <c r="K31" s="63" t="s">
        <v>1725</v>
      </c>
      <c r="L31" s="38" t="s">
        <v>325</v>
      </c>
      <c r="M31" s="487"/>
      <c r="N31" s="37">
        <v>1</v>
      </c>
      <c r="O31" s="228">
        <v>50</v>
      </c>
      <c r="P31" s="35">
        <f>CONVERT(45,"g","lbm")</f>
        <v>9.920801798319491E-2</v>
      </c>
      <c r="Q31" s="35">
        <v>1.625</v>
      </c>
      <c r="R31" s="35">
        <v>0.5</v>
      </c>
      <c r="S31" s="72">
        <v>7.125</v>
      </c>
      <c r="T31" s="135"/>
      <c r="U31" s="135"/>
      <c r="V31" s="135"/>
      <c r="W31" s="136"/>
      <c r="X31" s="263"/>
      <c r="Y31" s="263"/>
      <c r="Z31" s="263"/>
      <c r="AA31" s="264"/>
      <c r="AB31" s="135"/>
      <c r="AC31" s="135"/>
      <c r="AD31" s="135"/>
      <c r="AE31" s="136"/>
      <c r="AF31" s="135">
        <f t="shared" si="2"/>
        <v>0</v>
      </c>
      <c r="AG31" s="488" t="s">
        <v>334</v>
      </c>
      <c r="AH31" s="488" t="s">
        <v>2182</v>
      </c>
      <c r="AI31" s="488" t="s">
        <v>2183</v>
      </c>
      <c r="AJ31" s="488" t="s">
        <v>2184</v>
      </c>
      <c r="AK31" s="488" t="s">
        <v>2185</v>
      </c>
      <c r="AL31" s="61"/>
      <c r="AM31" s="61"/>
      <c r="AN31" s="61"/>
      <c r="AO31" s="488" t="s">
        <v>2181</v>
      </c>
      <c r="AP31" s="11" t="s">
        <v>2084</v>
      </c>
      <c r="AQ31" s="20"/>
      <c r="AR31" s="20"/>
      <c r="AS31" s="20"/>
      <c r="AT31" s="20"/>
    </row>
    <row r="32" spans="1:335" s="16" customFormat="1" ht="15.6" x14ac:dyDescent="0.3">
      <c r="A32" s="489" t="s">
        <v>2047</v>
      </c>
      <c r="B32" s="489"/>
      <c r="C32" s="489"/>
      <c r="D32" s="24"/>
      <c r="E32" s="22"/>
      <c r="H32" s="31"/>
      <c r="I32" s="31"/>
      <c r="J32" s="31"/>
      <c r="K32" s="31"/>
      <c r="L32" s="300"/>
      <c r="M32" s="6"/>
      <c r="N32" s="37"/>
      <c r="O32" s="228"/>
      <c r="P32" s="35"/>
      <c r="Q32" s="35"/>
      <c r="R32" s="35"/>
      <c r="S32" s="45"/>
      <c r="T32" s="17"/>
      <c r="U32" s="17"/>
      <c r="V32" s="17"/>
      <c r="W32" s="45"/>
      <c r="X32" s="17"/>
      <c r="Y32" s="17"/>
      <c r="Z32" s="17"/>
      <c r="AA32" s="45"/>
      <c r="AB32" s="44"/>
      <c r="AC32" s="17"/>
      <c r="AD32" s="17"/>
      <c r="AE32" s="45"/>
      <c r="AF32" s="153"/>
      <c r="AG32" s="161"/>
      <c r="AH32" s="161"/>
      <c r="AI32" s="161"/>
      <c r="AJ32" s="161"/>
      <c r="AK32" s="161"/>
      <c r="AL32" s="161"/>
      <c r="AM32" s="48"/>
      <c r="AN32" s="159"/>
      <c r="AO32" s="48"/>
      <c r="AP32" s="48"/>
      <c r="AQ32" s="48"/>
    </row>
    <row r="33" spans="1:335" s="304" customFormat="1" x14ac:dyDescent="0.25">
      <c r="A33" s="20" t="s">
        <v>228</v>
      </c>
      <c r="B33" s="366"/>
      <c r="C33" s="39" t="s">
        <v>2056</v>
      </c>
      <c r="D33" s="39"/>
      <c r="E33" s="61" t="s">
        <v>2188</v>
      </c>
      <c r="F33" s="39" t="s">
        <v>2074</v>
      </c>
      <c r="G33" s="20" t="s">
        <v>1517</v>
      </c>
      <c r="H33" s="49">
        <v>4260149870926</v>
      </c>
      <c r="I33" s="38" t="s">
        <v>66</v>
      </c>
      <c r="J33" s="38" t="s">
        <v>66</v>
      </c>
      <c r="K33" s="63" t="s">
        <v>244</v>
      </c>
      <c r="L33" s="38" t="s">
        <v>325</v>
      </c>
      <c r="M33" s="7">
        <v>49.99</v>
      </c>
      <c r="N33" s="37">
        <v>1</v>
      </c>
      <c r="O33" s="279">
        <v>12</v>
      </c>
      <c r="P33" s="35">
        <f>20.1/16</f>
        <v>1.2562500000000001</v>
      </c>
      <c r="Q33" s="35">
        <v>6.5</v>
      </c>
      <c r="R33" s="35">
        <v>4.25</v>
      </c>
      <c r="S33" s="72">
        <v>4.25</v>
      </c>
      <c r="T33" s="35">
        <f>CONVERT(650,"g","lbm")</f>
        <v>1.4330047042017042</v>
      </c>
      <c r="U33" s="177">
        <v>4.5</v>
      </c>
      <c r="V33" s="177">
        <v>4.5</v>
      </c>
      <c r="W33" s="227">
        <v>7</v>
      </c>
      <c r="X33" s="93" t="s">
        <v>66</v>
      </c>
      <c r="Y33" s="93" t="s">
        <v>66</v>
      </c>
      <c r="Z33" s="93" t="s">
        <v>66</v>
      </c>
      <c r="AA33" s="291" t="s">
        <v>66</v>
      </c>
      <c r="AB33" s="35">
        <f>CONVERT(0,"g","lbm")</f>
        <v>0</v>
      </c>
      <c r="AC33" s="177">
        <v>18.5</v>
      </c>
      <c r="AD33" s="177">
        <v>14</v>
      </c>
      <c r="AE33" s="227">
        <v>7.75</v>
      </c>
      <c r="AF33" s="35">
        <f>AC33*AD33*AE33/(12^3)</f>
        <v>1.1616030092592593</v>
      </c>
      <c r="AG33" s="39" t="s">
        <v>2194</v>
      </c>
      <c r="AH33" s="61" t="s">
        <v>2195</v>
      </c>
      <c r="AI33" s="61" t="s">
        <v>2196</v>
      </c>
      <c r="AJ33" s="61" t="s">
        <v>2197</v>
      </c>
      <c r="AK33" s="39" t="s">
        <v>2198</v>
      </c>
      <c r="AL33" s="39" t="s">
        <v>2199</v>
      </c>
      <c r="AM33" s="39"/>
      <c r="AN33" s="39"/>
      <c r="AO33" s="61" t="s">
        <v>2200</v>
      </c>
      <c r="AP33" s="11" t="s">
        <v>2084</v>
      </c>
      <c r="AQ33" s="39"/>
      <c r="AR33" s="16"/>
      <c r="AS33" s="16"/>
      <c r="AT33" s="16"/>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c r="IW33" s="20"/>
      <c r="IX33" s="20"/>
      <c r="IY33" s="20"/>
      <c r="IZ33" s="20"/>
      <c r="JA33" s="20"/>
      <c r="JB33" s="20"/>
      <c r="JC33" s="20"/>
      <c r="JD33" s="20"/>
      <c r="JE33" s="20"/>
      <c r="JF33" s="20"/>
      <c r="JG33" s="20"/>
      <c r="JH33" s="20"/>
      <c r="JI33" s="20"/>
      <c r="JJ33" s="20"/>
      <c r="JK33" s="20"/>
      <c r="JL33" s="20"/>
      <c r="JM33" s="20"/>
      <c r="JN33" s="20"/>
      <c r="JO33" s="20"/>
      <c r="JP33" s="20"/>
      <c r="JQ33" s="20"/>
      <c r="JR33" s="20"/>
      <c r="JS33" s="20"/>
      <c r="JT33" s="20"/>
      <c r="JU33" s="20"/>
      <c r="JV33" s="20"/>
      <c r="JW33" s="20"/>
      <c r="JX33" s="20"/>
      <c r="JY33" s="20"/>
      <c r="JZ33" s="20"/>
      <c r="KA33" s="20"/>
      <c r="KB33" s="20"/>
      <c r="KC33" s="20"/>
      <c r="KD33" s="20"/>
      <c r="KE33" s="20"/>
      <c r="KF33" s="20"/>
      <c r="KG33" s="20"/>
      <c r="KH33" s="20"/>
      <c r="KI33" s="20"/>
      <c r="KJ33" s="20"/>
      <c r="KK33" s="20"/>
      <c r="KL33" s="20"/>
      <c r="KM33" s="20"/>
      <c r="KN33" s="20"/>
      <c r="KO33" s="20"/>
      <c r="KP33" s="20"/>
      <c r="KQ33" s="20"/>
      <c r="KR33" s="20"/>
      <c r="KS33" s="20"/>
      <c r="KT33" s="20"/>
      <c r="KU33" s="20"/>
      <c r="KV33" s="20"/>
      <c r="KW33" s="20"/>
      <c r="KX33" s="20"/>
      <c r="KY33" s="20"/>
      <c r="KZ33" s="20"/>
      <c r="LA33" s="20"/>
      <c r="LB33" s="20"/>
      <c r="LC33" s="20"/>
      <c r="LD33" s="20"/>
      <c r="LE33" s="20"/>
      <c r="LF33" s="20"/>
      <c r="LG33" s="20"/>
      <c r="LH33" s="20"/>
      <c r="LI33" s="20"/>
      <c r="LJ33" s="20"/>
      <c r="LK33" s="20"/>
      <c r="LL33" s="20"/>
      <c r="LM33" s="20"/>
      <c r="LN33" s="20"/>
      <c r="LO33" s="20"/>
      <c r="LP33" s="20"/>
      <c r="LQ33" s="20"/>
      <c r="LR33" s="20"/>
      <c r="LS33" s="20"/>
      <c r="LT33" s="20"/>
      <c r="LU33" s="20"/>
      <c r="LV33" s="20"/>
      <c r="LW33" s="20"/>
    </row>
    <row r="34" spans="1:335" s="20" customFormat="1" x14ac:dyDescent="0.25">
      <c r="A34" s="20" t="s">
        <v>228</v>
      </c>
      <c r="B34" s="366"/>
      <c r="C34" s="39" t="s">
        <v>1090</v>
      </c>
      <c r="D34" s="39"/>
      <c r="E34" s="61" t="s">
        <v>2188</v>
      </c>
      <c r="F34" s="39" t="s">
        <v>588</v>
      </c>
      <c r="G34" s="20" t="s">
        <v>1517</v>
      </c>
      <c r="H34" s="49">
        <v>4260149870919</v>
      </c>
      <c r="I34" s="38" t="s">
        <v>66</v>
      </c>
      <c r="J34" s="38" t="s">
        <v>66</v>
      </c>
      <c r="K34" s="63" t="s">
        <v>244</v>
      </c>
      <c r="L34" s="38" t="s">
        <v>325</v>
      </c>
      <c r="M34" s="7">
        <v>49.99</v>
      </c>
      <c r="N34" s="37">
        <v>1</v>
      </c>
      <c r="O34" s="279">
        <v>12</v>
      </c>
      <c r="P34" s="35">
        <f>20.1/16</f>
        <v>1.2562500000000001</v>
      </c>
      <c r="Q34" s="35">
        <v>6.5</v>
      </c>
      <c r="R34" s="35">
        <v>4.25</v>
      </c>
      <c r="S34" s="72">
        <v>4.25</v>
      </c>
      <c r="T34" s="35">
        <f>CONVERT(650,"g","lbm")</f>
        <v>1.4330047042017042</v>
      </c>
      <c r="U34" s="177">
        <v>4.5</v>
      </c>
      <c r="V34" s="177">
        <v>4.5</v>
      </c>
      <c r="W34" s="227">
        <v>7</v>
      </c>
      <c r="X34" s="93" t="s">
        <v>66</v>
      </c>
      <c r="Y34" s="93" t="s">
        <v>66</v>
      </c>
      <c r="Z34" s="93" t="s">
        <v>66</v>
      </c>
      <c r="AA34" s="291" t="s">
        <v>66</v>
      </c>
      <c r="AB34" s="35">
        <f>CONVERT(0,"g","lbm")</f>
        <v>0</v>
      </c>
      <c r="AC34" s="177">
        <v>18.5</v>
      </c>
      <c r="AD34" s="177">
        <v>14</v>
      </c>
      <c r="AE34" s="227">
        <v>7.75</v>
      </c>
      <c r="AF34" s="35">
        <f>AC34*AD34*AE34/(12^3)</f>
        <v>1.1616030092592593</v>
      </c>
      <c r="AG34" s="39" t="s">
        <v>2194</v>
      </c>
      <c r="AH34" s="61" t="s">
        <v>2195</v>
      </c>
      <c r="AI34" s="61" t="s">
        <v>2196</v>
      </c>
      <c r="AJ34" s="61" t="s">
        <v>2197</v>
      </c>
      <c r="AK34" s="39" t="s">
        <v>2198</v>
      </c>
      <c r="AL34" s="39" t="s">
        <v>2199</v>
      </c>
      <c r="AM34" s="39"/>
      <c r="AN34" s="39"/>
      <c r="AO34" s="61" t="s">
        <v>2200</v>
      </c>
      <c r="AP34" s="11" t="s">
        <v>2084</v>
      </c>
      <c r="AQ34" s="39"/>
    </row>
    <row r="35" spans="1:335" s="304" customFormat="1" x14ac:dyDescent="0.25">
      <c r="A35" s="20" t="s">
        <v>228</v>
      </c>
      <c r="B35" s="366"/>
      <c r="C35" s="39" t="s">
        <v>1091</v>
      </c>
      <c r="D35" s="39"/>
      <c r="E35" s="61" t="s">
        <v>2188</v>
      </c>
      <c r="F35" s="39" t="s">
        <v>1495</v>
      </c>
      <c r="G35" s="20" t="s">
        <v>1517</v>
      </c>
      <c r="H35" s="49">
        <v>4260149870896</v>
      </c>
      <c r="I35" s="38" t="s">
        <v>66</v>
      </c>
      <c r="J35" s="38" t="s">
        <v>66</v>
      </c>
      <c r="K35" s="63" t="s">
        <v>244</v>
      </c>
      <c r="L35" s="38" t="s">
        <v>325</v>
      </c>
      <c r="M35" s="7">
        <v>49.99</v>
      </c>
      <c r="N35" s="37">
        <v>1</v>
      </c>
      <c r="O35" s="279">
        <v>12</v>
      </c>
      <c r="P35" s="35">
        <f>20.1/16</f>
        <v>1.2562500000000001</v>
      </c>
      <c r="Q35" s="35">
        <v>6.5</v>
      </c>
      <c r="R35" s="35">
        <v>4.25</v>
      </c>
      <c r="S35" s="72">
        <v>4.25</v>
      </c>
      <c r="T35" s="35">
        <f>CONVERT(650,"g","lbm")</f>
        <v>1.4330047042017042</v>
      </c>
      <c r="U35" s="177">
        <v>4.5</v>
      </c>
      <c r="V35" s="177">
        <v>4.5</v>
      </c>
      <c r="W35" s="227">
        <v>7</v>
      </c>
      <c r="X35" s="93" t="s">
        <v>66</v>
      </c>
      <c r="Y35" s="93" t="s">
        <v>66</v>
      </c>
      <c r="Z35" s="93" t="s">
        <v>66</v>
      </c>
      <c r="AA35" s="291" t="s">
        <v>66</v>
      </c>
      <c r="AB35" s="35">
        <f>CONVERT(0,"g","lbm")</f>
        <v>0</v>
      </c>
      <c r="AC35" s="177">
        <v>18.5</v>
      </c>
      <c r="AD35" s="177">
        <v>14</v>
      </c>
      <c r="AE35" s="227">
        <v>7.75</v>
      </c>
      <c r="AF35" s="35">
        <f>AC35*AD35*AE35/(12^3)</f>
        <v>1.1616030092592593</v>
      </c>
      <c r="AG35" s="39" t="s">
        <v>2194</v>
      </c>
      <c r="AH35" s="61" t="s">
        <v>2195</v>
      </c>
      <c r="AI35" s="61" t="s">
        <v>2196</v>
      </c>
      <c r="AJ35" s="61" t="s">
        <v>2197</v>
      </c>
      <c r="AK35" s="39" t="s">
        <v>2198</v>
      </c>
      <c r="AL35" s="39" t="s">
        <v>2199</v>
      </c>
      <c r="AM35" s="39"/>
      <c r="AN35" s="39"/>
      <c r="AO35" s="61" t="s">
        <v>2200</v>
      </c>
      <c r="AP35" s="11" t="s">
        <v>2084</v>
      </c>
      <c r="AQ35" s="39"/>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c r="IW35" s="20"/>
      <c r="IX35" s="20"/>
      <c r="IY35" s="20"/>
      <c r="IZ35" s="20"/>
      <c r="JA35" s="20"/>
      <c r="JB35" s="20"/>
      <c r="JC35" s="20"/>
      <c r="JD35" s="20"/>
      <c r="JE35" s="20"/>
      <c r="JF35" s="20"/>
      <c r="JG35" s="20"/>
      <c r="JH35" s="20"/>
      <c r="JI35" s="20"/>
      <c r="JJ35" s="20"/>
      <c r="JK35" s="20"/>
      <c r="JL35" s="20"/>
      <c r="JM35" s="20"/>
      <c r="JN35" s="20"/>
      <c r="JO35" s="20"/>
      <c r="JP35" s="20"/>
      <c r="JQ35" s="20"/>
      <c r="JR35" s="20"/>
      <c r="JS35" s="20"/>
      <c r="JT35" s="20"/>
      <c r="JU35" s="20"/>
      <c r="JV35" s="20"/>
      <c r="JW35" s="20"/>
      <c r="JX35" s="20"/>
      <c r="JY35" s="20"/>
      <c r="JZ35" s="20"/>
      <c r="KA35" s="20"/>
      <c r="KB35" s="20"/>
      <c r="KC35" s="20"/>
      <c r="KD35" s="20"/>
      <c r="KE35" s="20"/>
      <c r="KF35" s="20"/>
      <c r="KG35" s="20"/>
      <c r="KH35" s="20"/>
      <c r="KI35" s="20"/>
      <c r="KJ35" s="20"/>
      <c r="KK35" s="20"/>
      <c r="KL35" s="20"/>
      <c r="KM35" s="20"/>
      <c r="KN35" s="20"/>
      <c r="KO35" s="20"/>
      <c r="KP35" s="20"/>
      <c r="KQ35" s="20"/>
      <c r="KR35" s="20"/>
      <c r="KS35" s="20"/>
      <c r="KT35" s="20"/>
      <c r="KU35" s="20"/>
      <c r="KV35" s="20"/>
      <c r="KW35" s="20"/>
      <c r="KX35" s="20"/>
      <c r="KY35" s="20"/>
      <c r="KZ35" s="20"/>
      <c r="LA35" s="20"/>
      <c r="LB35" s="20"/>
      <c r="LC35" s="20"/>
      <c r="LD35" s="20"/>
      <c r="LE35" s="20"/>
      <c r="LF35" s="20"/>
      <c r="LG35" s="20"/>
      <c r="LH35" s="20"/>
      <c r="LI35" s="20"/>
      <c r="LJ35" s="20"/>
      <c r="LK35" s="20"/>
      <c r="LL35" s="20"/>
      <c r="LM35" s="20"/>
      <c r="LN35" s="20"/>
      <c r="LO35" s="20"/>
      <c r="LP35" s="20"/>
      <c r="LQ35" s="20"/>
      <c r="LR35" s="20"/>
      <c r="LS35" s="20"/>
      <c r="LT35" s="20"/>
      <c r="LU35" s="20"/>
      <c r="LV35" s="20"/>
      <c r="LW35" s="20"/>
    </row>
    <row r="36" spans="1:335" s="39" customFormat="1" x14ac:dyDescent="0.25">
      <c r="A36" s="410" t="s">
        <v>228</v>
      </c>
      <c r="B36" s="411"/>
      <c r="C36" s="410" t="s">
        <v>256</v>
      </c>
      <c r="D36" s="412"/>
      <c r="E36" s="469" t="s">
        <v>310</v>
      </c>
      <c r="F36" s="410" t="s">
        <v>111</v>
      </c>
      <c r="G36" s="410" t="s">
        <v>1517</v>
      </c>
      <c r="H36" s="470" t="s">
        <v>238</v>
      </c>
      <c r="I36" s="470"/>
      <c r="J36" s="470"/>
      <c r="K36" s="471" t="s">
        <v>244</v>
      </c>
      <c r="L36" s="415" t="s">
        <v>325</v>
      </c>
      <c r="M36" s="472">
        <v>29.99</v>
      </c>
      <c r="N36" s="417">
        <v>1</v>
      </c>
      <c r="O36" s="418">
        <v>24</v>
      </c>
      <c r="P36" s="412"/>
      <c r="Q36" s="412"/>
      <c r="R36" s="412"/>
      <c r="S36" s="420"/>
      <c r="T36" s="412">
        <v>1.05</v>
      </c>
      <c r="U36" s="412">
        <v>3.25</v>
      </c>
      <c r="V36" s="412">
        <v>3.25</v>
      </c>
      <c r="W36" s="420">
        <v>11</v>
      </c>
      <c r="X36" s="473"/>
      <c r="Y36" s="473"/>
      <c r="Z36" s="473"/>
      <c r="AA36" s="474"/>
      <c r="AB36" s="412">
        <v>24.25</v>
      </c>
      <c r="AC36" s="412">
        <v>14</v>
      </c>
      <c r="AD36" s="412">
        <v>12</v>
      </c>
      <c r="AE36" s="420">
        <v>20.75</v>
      </c>
      <c r="AF36" s="412">
        <f t="shared" ref="AF36:AF37" si="3">AC36*AD36*AE36/(12^3)</f>
        <v>2.0173611111111112</v>
      </c>
      <c r="AG36" s="469" t="s">
        <v>245</v>
      </c>
      <c r="AH36" s="475" t="s">
        <v>246</v>
      </c>
      <c r="AI36" s="475" t="s">
        <v>258</v>
      </c>
      <c r="AJ36" s="469" t="s">
        <v>259</v>
      </c>
      <c r="AK36" s="469" t="s">
        <v>260</v>
      </c>
      <c r="AL36" s="469"/>
      <c r="AM36" s="469"/>
      <c r="AN36" s="469"/>
      <c r="AO36" s="469" t="s">
        <v>261</v>
      </c>
      <c r="AP36" s="476" t="s">
        <v>263</v>
      </c>
      <c r="AQ36" s="410"/>
    </row>
    <row r="37" spans="1:335" x14ac:dyDescent="0.25">
      <c r="A37" s="410" t="s">
        <v>228</v>
      </c>
      <c r="B37" s="411"/>
      <c r="C37" s="410" t="s">
        <v>257</v>
      </c>
      <c r="D37" s="412"/>
      <c r="E37" s="469" t="s">
        <v>311</v>
      </c>
      <c r="F37" s="410" t="s">
        <v>111</v>
      </c>
      <c r="G37" s="410" t="s">
        <v>1517</v>
      </c>
      <c r="H37" s="470" t="s">
        <v>239</v>
      </c>
      <c r="I37" s="470"/>
      <c r="J37" s="470"/>
      <c r="K37" s="471" t="s">
        <v>244</v>
      </c>
      <c r="L37" s="415" t="s">
        <v>325</v>
      </c>
      <c r="M37" s="472">
        <v>34.99</v>
      </c>
      <c r="N37" s="417">
        <v>1</v>
      </c>
      <c r="O37" s="418">
        <v>24</v>
      </c>
      <c r="P37" s="412"/>
      <c r="Q37" s="412"/>
      <c r="R37" s="412"/>
      <c r="S37" s="420"/>
      <c r="T37" s="412">
        <v>1.35</v>
      </c>
      <c r="U37" s="412">
        <v>3.75</v>
      </c>
      <c r="V37" s="412">
        <v>3.75</v>
      </c>
      <c r="W37" s="420">
        <v>11.5</v>
      </c>
      <c r="X37" s="473"/>
      <c r="Y37" s="473"/>
      <c r="Z37" s="473"/>
      <c r="AA37" s="474"/>
      <c r="AB37" s="412">
        <v>33</v>
      </c>
      <c r="AC37" s="412">
        <v>15.75</v>
      </c>
      <c r="AD37" s="412">
        <v>12.25</v>
      </c>
      <c r="AE37" s="420">
        <v>23.25</v>
      </c>
      <c r="AF37" s="412">
        <f t="shared" si="3"/>
        <v>2.595947265625</v>
      </c>
      <c r="AG37" s="469" t="s">
        <v>245</v>
      </c>
      <c r="AH37" s="475" t="s">
        <v>246</v>
      </c>
      <c r="AI37" s="475" t="s">
        <v>258</v>
      </c>
      <c r="AJ37" s="469" t="s">
        <v>259</v>
      </c>
      <c r="AK37" s="469" t="s">
        <v>260</v>
      </c>
      <c r="AL37" s="469"/>
      <c r="AM37" s="469"/>
      <c r="AN37" s="469"/>
      <c r="AO37" s="469" t="s">
        <v>262</v>
      </c>
      <c r="AP37" s="476" t="s">
        <v>263</v>
      </c>
      <c r="AQ37" s="410"/>
      <c r="AR37" s="39"/>
      <c r="AS37" s="39"/>
      <c r="AT37" s="39"/>
    </row>
    <row r="38" spans="1:335" s="16" customFormat="1" x14ac:dyDescent="0.25">
      <c r="A38" s="20" t="s">
        <v>228</v>
      </c>
      <c r="B38" s="366"/>
      <c r="C38" s="39" t="s">
        <v>1092</v>
      </c>
      <c r="D38" s="39"/>
      <c r="E38" s="61" t="s">
        <v>2187</v>
      </c>
      <c r="F38" s="39" t="s">
        <v>2074</v>
      </c>
      <c r="G38" s="39" t="s">
        <v>1517</v>
      </c>
      <c r="H38" s="49">
        <v>4260149870889</v>
      </c>
      <c r="I38" s="38" t="s">
        <v>66</v>
      </c>
      <c r="J38" s="38" t="s">
        <v>66</v>
      </c>
      <c r="K38" s="63" t="s">
        <v>244</v>
      </c>
      <c r="L38" s="38" t="s">
        <v>325</v>
      </c>
      <c r="M38" s="7">
        <v>49.99</v>
      </c>
      <c r="N38" s="37">
        <v>1</v>
      </c>
      <c r="O38" s="279">
        <v>24</v>
      </c>
      <c r="P38" s="35">
        <f>21/16</f>
        <v>1.3125</v>
      </c>
      <c r="Q38" s="35">
        <v>11.6</v>
      </c>
      <c r="R38" s="35">
        <v>3.5</v>
      </c>
      <c r="S38" s="72">
        <v>3.5</v>
      </c>
      <c r="T38" s="35">
        <f>CONVERT(700,"g","lbm")</f>
        <v>1.5432358352941431</v>
      </c>
      <c r="U38" s="177">
        <v>3.75</v>
      </c>
      <c r="V38" s="177">
        <v>3.75</v>
      </c>
      <c r="W38" s="227">
        <v>12</v>
      </c>
      <c r="X38" s="93" t="s">
        <v>66</v>
      </c>
      <c r="Y38" s="93" t="s">
        <v>66</v>
      </c>
      <c r="Z38" s="93" t="s">
        <v>66</v>
      </c>
      <c r="AA38" s="291" t="s">
        <v>66</v>
      </c>
      <c r="AB38" s="35">
        <f>CONVERT(0,"g","lbm")</f>
        <v>0</v>
      </c>
      <c r="AC38" s="177">
        <v>25.75</v>
      </c>
      <c r="AD38" s="177">
        <v>16.25</v>
      </c>
      <c r="AE38" s="227">
        <v>13</v>
      </c>
      <c r="AF38" s="17">
        <f t="shared" ref="AF38:AF40" si="4">AC38*AD38*AE38/(12^3)</f>
        <v>3.1479673032407409</v>
      </c>
      <c r="AG38" s="39" t="s">
        <v>2186</v>
      </c>
      <c r="AH38" s="39" t="s">
        <v>2189</v>
      </c>
      <c r="AI38" s="39" t="s">
        <v>2190</v>
      </c>
      <c r="AJ38" s="39" t="s">
        <v>2191</v>
      </c>
      <c r="AK38" s="39" t="s">
        <v>2192</v>
      </c>
      <c r="AL38" s="39"/>
      <c r="AM38" s="39"/>
      <c r="AN38" s="39"/>
      <c r="AO38" s="39" t="s">
        <v>2193</v>
      </c>
      <c r="AP38" s="11" t="s">
        <v>2084</v>
      </c>
      <c r="AQ38" s="39"/>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c r="IW38" s="20"/>
      <c r="IX38" s="20"/>
      <c r="IY38" s="20"/>
      <c r="IZ38" s="20"/>
      <c r="JA38" s="20"/>
      <c r="JB38" s="20"/>
      <c r="JC38" s="20"/>
      <c r="JD38" s="20"/>
      <c r="JE38" s="20"/>
      <c r="JF38" s="20"/>
      <c r="JG38" s="20"/>
      <c r="JH38" s="20"/>
      <c r="JI38" s="20"/>
      <c r="JJ38" s="20"/>
      <c r="JK38" s="20"/>
      <c r="JL38" s="20"/>
      <c r="JM38" s="20"/>
      <c r="JN38" s="20"/>
      <c r="JO38" s="20"/>
      <c r="JP38" s="20"/>
      <c r="JQ38" s="20"/>
      <c r="JR38" s="20"/>
      <c r="JS38" s="20"/>
      <c r="JT38" s="20"/>
      <c r="JU38" s="20"/>
      <c r="JV38" s="20"/>
      <c r="JW38" s="20"/>
      <c r="JX38" s="20"/>
      <c r="JY38" s="20"/>
      <c r="JZ38" s="20"/>
      <c r="KA38" s="20"/>
      <c r="KB38" s="20"/>
      <c r="KC38" s="20"/>
      <c r="KD38" s="20"/>
      <c r="KE38" s="20"/>
      <c r="KF38" s="20"/>
      <c r="KG38" s="20"/>
      <c r="KH38" s="20"/>
      <c r="KI38" s="20"/>
      <c r="KJ38" s="20"/>
      <c r="KK38" s="20"/>
      <c r="KL38" s="20"/>
      <c r="KM38" s="20"/>
      <c r="KN38" s="20"/>
      <c r="KO38" s="20"/>
      <c r="KP38" s="20"/>
      <c r="KQ38" s="20"/>
      <c r="KR38" s="20"/>
      <c r="KS38" s="20"/>
      <c r="KT38" s="20"/>
      <c r="KU38" s="20"/>
      <c r="KV38" s="20"/>
      <c r="KW38" s="20"/>
      <c r="KX38" s="20"/>
      <c r="KY38" s="20"/>
      <c r="KZ38" s="20"/>
      <c r="LA38" s="20"/>
      <c r="LB38" s="20"/>
      <c r="LC38" s="20"/>
      <c r="LD38" s="20"/>
      <c r="LE38" s="20"/>
      <c r="LF38" s="20"/>
      <c r="LG38" s="20"/>
      <c r="LH38" s="20"/>
      <c r="LI38" s="20"/>
      <c r="LJ38" s="20"/>
      <c r="LK38" s="20"/>
      <c r="LL38" s="20"/>
      <c r="LM38" s="20"/>
      <c r="LN38" s="20"/>
      <c r="LO38" s="20"/>
      <c r="LP38" s="20"/>
      <c r="LQ38" s="20"/>
      <c r="LR38" s="20"/>
      <c r="LS38" s="20"/>
      <c r="LT38" s="20"/>
      <c r="LU38" s="20"/>
      <c r="LV38" s="20"/>
      <c r="LW38" s="20"/>
    </row>
    <row r="39" spans="1:335" x14ac:dyDescent="0.25">
      <c r="A39" s="20" t="s">
        <v>228</v>
      </c>
      <c r="B39" s="366"/>
      <c r="C39" s="39" t="s">
        <v>1093</v>
      </c>
      <c r="D39" s="39"/>
      <c r="E39" s="61" t="s">
        <v>2187</v>
      </c>
      <c r="F39" s="39" t="s">
        <v>588</v>
      </c>
      <c r="G39" s="39" t="s">
        <v>1517</v>
      </c>
      <c r="H39" s="49">
        <v>4260149870872</v>
      </c>
      <c r="I39" s="38" t="s">
        <v>66</v>
      </c>
      <c r="J39" s="38" t="s">
        <v>66</v>
      </c>
      <c r="K39" s="63" t="s">
        <v>244</v>
      </c>
      <c r="L39" s="38" t="s">
        <v>325</v>
      </c>
      <c r="M39" s="7">
        <v>49.99</v>
      </c>
      <c r="N39" s="37">
        <v>1</v>
      </c>
      <c r="O39" s="279">
        <v>24</v>
      </c>
      <c r="P39" s="35">
        <f>21/16</f>
        <v>1.3125</v>
      </c>
      <c r="Q39" s="35">
        <v>11.6</v>
      </c>
      <c r="R39" s="35">
        <v>3.5</v>
      </c>
      <c r="S39" s="72">
        <v>3.5</v>
      </c>
      <c r="T39" s="35">
        <f>CONVERT(700,"g","lbm")</f>
        <v>1.5432358352941431</v>
      </c>
      <c r="U39" s="177">
        <v>3.75</v>
      </c>
      <c r="V39" s="177">
        <v>3.75</v>
      </c>
      <c r="W39" s="227">
        <v>12</v>
      </c>
      <c r="X39" s="93" t="s">
        <v>66</v>
      </c>
      <c r="Y39" s="93" t="s">
        <v>66</v>
      </c>
      <c r="Z39" s="93" t="s">
        <v>66</v>
      </c>
      <c r="AA39" s="291" t="s">
        <v>66</v>
      </c>
      <c r="AB39" s="35">
        <f>CONVERT(0,"g","lbm")</f>
        <v>0</v>
      </c>
      <c r="AC39" s="177">
        <v>25.75</v>
      </c>
      <c r="AD39" s="177">
        <v>16.25</v>
      </c>
      <c r="AE39" s="227">
        <v>13</v>
      </c>
      <c r="AF39" s="17">
        <f t="shared" si="4"/>
        <v>3.1479673032407409</v>
      </c>
      <c r="AG39" s="39" t="s">
        <v>2186</v>
      </c>
      <c r="AH39" s="39" t="s">
        <v>2189</v>
      </c>
      <c r="AI39" s="39" t="s">
        <v>2190</v>
      </c>
      <c r="AJ39" s="39" t="s">
        <v>2191</v>
      </c>
      <c r="AK39" s="39" t="s">
        <v>2192</v>
      </c>
      <c r="AL39" s="39"/>
      <c r="AM39" s="39"/>
      <c r="AN39" s="39"/>
      <c r="AO39" s="39" t="s">
        <v>2193</v>
      </c>
      <c r="AP39" s="11" t="s">
        <v>2084</v>
      </c>
      <c r="AQ39" s="39"/>
      <c r="AR39" s="20"/>
      <c r="AS39" s="20"/>
      <c r="AT39" s="20"/>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c r="IU39" s="39"/>
      <c r="IV39" s="39"/>
      <c r="IW39" s="39"/>
      <c r="IX39" s="39"/>
      <c r="IY39" s="39"/>
      <c r="IZ39" s="39"/>
      <c r="JA39" s="39"/>
      <c r="JB39" s="39"/>
      <c r="JC39" s="39"/>
      <c r="JD39" s="39"/>
      <c r="JE39" s="39"/>
      <c r="JF39" s="39"/>
      <c r="JG39" s="39"/>
      <c r="JH39" s="39"/>
      <c r="JI39" s="39"/>
      <c r="JJ39" s="39"/>
      <c r="JK39" s="39"/>
      <c r="JL39" s="39"/>
      <c r="JM39" s="39"/>
      <c r="JN39" s="39"/>
      <c r="JO39" s="39"/>
      <c r="JP39" s="39"/>
      <c r="JQ39" s="39"/>
      <c r="JR39" s="39"/>
      <c r="JS39" s="39"/>
      <c r="JT39" s="39"/>
      <c r="JU39" s="39"/>
      <c r="JV39" s="39"/>
      <c r="JW39" s="39"/>
      <c r="JX39" s="39"/>
      <c r="JY39" s="39"/>
      <c r="JZ39" s="39"/>
      <c r="KA39" s="39"/>
      <c r="KB39" s="39"/>
      <c r="KC39" s="39"/>
      <c r="KD39" s="39"/>
      <c r="KE39" s="39"/>
      <c r="KF39" s="39"/>
      <c r="KG39" s="39"/>
      <c r="KH39" s="39"/>
      <c r="KI39" s="39"/>
      <c r="KJ39" s="39"/>
      <c r="KK39" s="39"/>
      <c r="KL39" s="39"/>
      <c r="KM39" s="39"/>
      <c r="KN39" s="39"/>
      <c r="KO39" s="39"/>
      <c r="KP39" s="39"/>
      <c r="KQ39" s="39"/>
      <c r="KR39" s="39"/>
      <c r="KS39" s="39"/>
      <c r="KT39" s="39"/>
      <c r="KU39" s="39"/>
      <c r="KV39" s="39"/>
      <c r="KW39" s="39"/>
      <c r="KX39" s="39"/>
      <c r="KY39" s="39"/>
      <c r="KZ39" s="39"/>
      <c r="LA39" s="39"/>
      <c r="LB39" s="39"/>
      <c r="LC39" s="39"/>
      <c r="LD39" s="39"/>
      <c r="LE39" s="39"/>
      <c r="LF39" s="39"/>
      <c r="LG39" s="39"/>
      <c r="LH39" s="39"/>
      <c r="LI39" s="39"/>
      <c r="LJ39" s="39"/>
      <c r="LK39" s="39"/>
      <c r="LL39" s="39"/>
      <c r="LM39" s="39"/>
      <c r="LN39" s="39"/>
      <c r="LO39" s="39"/>
      <c r="LP39" s="39"/>
      <c r="LQ39" s="39"/>
      <c r="LR39" s="39"/>
      <c r="LS39" s="39"/>
      <c r="LT39" s="39"/>
      <c r="LU39" s="39"/>
      <c r="LV39" s="39"/>
      <c r="LW39" s="39"/>
    </row>
    <row r="40" spans="1:335" s="39" customFormat="1" x14ac:dyDescent="0.25">
      <c r="A40" s="20" t="s">
        <v>228</v>
      </c>
      <c r="B40" s="366"/>
      <c r="C40" s="39" t="s">
        <v>1094</v>
      </c>
      <c r="E40" s="61" t="s">
        <v>2187</v>
      </c>
      <c r="F40" s="39" t="s">
        <v>1495</v>
      </c>
      <c r="G40" s="39" t="s">
        <v>1517</v>
      </c>
      <c r="H40" s="49">
        <v>4260149870858</v>
      </c>
      <c r="I40" s="38" t="s">
        <v>66</v>
      </c>
      <c r="J40" s="38" t="s">
        <v>66</v>
      </c>
      <c r="K40" s="63" t="s">
        <v>244</v>
      </c>
      <c r="L40" s="38" t="s">
        <v>325</v>
      </c>
      <c r="M40" s="7">
        <v>49.99</v>
      </c>
      <c r="N40" s="37">
        <v>1</v>
      </c>
      <c r="O40" s="279">
        <v>24</v>
      </c>
      <c r="P40" s="35">
        <f>21/16</f>
        <v>1.3125</v>
      </c>
      <c r="Q40" s="35">
        <v>11.6</v>
      </c>
      <c r="R40" s="35">
        <v>3.5</v>
      </c>
      <c r="S40" s="72">
        <v>3.5</v>
      </c>
      <c r="T40" s="35">
        <f>CONVERT(700,"g","lbm")</f>
        <v>1.5432358352941431</v>
      </c>
      <c r="U40" s="177">
        <v>3.75</v>
      </c>
      <c r="V40" s="177">
        <v>3.75</v>
      </c>
      <c r="W40" s="227">
        <v>12</v>
      </c>
      <c r="X40" s="93" t="s">
        <v>66</v>
      </c>
      <c r="Y40" s="93" t="s">
        <v>66</v>
      </c>
      <c r="Z40" s="93" t="s">
        <v>66</v>
      </c>
      <c r="AA40" s="291" t="s">
        <v>66</v>
      </c>
      <c r="AB40" s="35">
        <f>CONVERT(0,"g","lbm")</f>
        <v>0</v>
      </c>
      <c r="AC40" s="177">
        <v>25.75</v>
      </c>
      <c r="AD40" s="177">
        <v>16.25</v>
      </c>
      <c r="AE40" s="227">
        <v>13</v>
      </c>
      <c r="AF40" s="17">
        <f t="shared" si="4"/>
        <v>3.1479673032407409</v>
      </c>
      <c r="AG40" s="39" t="s">
        <v>2186</v>
      </c>
      <c r="AH40" s="39" t="s">
        <v>2189</v>
      </c>
      <c r="AI40" s="39" t="s">
        <v>2190</v>
      </c>
      <c r="AJ40" s="39" t="s">
        <v>2191</v>
      </c>
      <c r="AK40" s="39" t="s">
        <v>2192</v>
      </c>
      <c r="AO40" s="39" t="s">
        <v>2193</v>
      </c>
      <c r="AP40" s="11" t="s">
        <v>2084</v>
      </c>
    </row>
    <row r="41" spans="1:335" s="16" customFormat="1" ht="15.6" x14ac:dyDescent="0.3">
      <c r="A41" s="489" t="s">
        <v>2048</v>
      </c>
      <c r="B41" s="489"/>
      <c r="C41" s="489"/>
      <c r="D41" s="24"/>
      <c r="E41" s="22"/>
      <c r="H41" s="31"/>
      <c r="I41" s="31"/>
      <c r="J41" s="31"/>
      <c r="K41" s="31"/>
      <c r="L41" s="300"/>
      <c r="M41" s="6"/>
      <c r="N41" s="37"/>
      <c r="O41" s="228"/>
      <c r="P41" s="35"/>
      <c r="Q41" s="35"/>
      <c r="R41" s="35"/>
      <c r="S41" s="45"/>
      <c r="T41" s="17"/>
      <c r="U41" s="17"/>
      <c r="V41" s="17"/>
      <c r="W41" s="45"/>
      <c r="X41" s="17"/>
      <c r="Y41" s="17"/>
      <c r="Z41" s="17"/>
      <c r="AA41" s="45"/>
      <c r="AB41" s="44"/>
      <c r="AC41" s="17"/>
      <c r="AD41" s="17"/>
      <c r="AE41" s="45"/>
      <c r="AF41" s="153"/>
      <c r="AG41" s="161"/>
      <c r="AH41" s="161"/>
      <c r="AI41" s="161"/>
      <c r="AJ41" s="161"/>
      <c r="AK41" s="161"/>
      <c r="AL41" s="161"/>
      <c r="AM41" s="48"/>
      <c r="AN41" s="159"/>
      <c r="AO41" s="48"/>
      <c r="AP41" s="48"/>
      <c r="AQ41" s="48"/>
    </row>
    <row r="42" spans="1:335" s="410" customFormat="1" x14ac:dyDescent="0.25">
      <c r="A42" s="410" t="s">
        <v>228</v>
      </c>
      <c r="B42" s="411"/>
      <c r="C42" s="410" t="s">
        <v>253</v>
      </c>
      <c r="D42" s="412"/>
      <c r="E42" s="469" t="s">
        <v>309</v>
      </c>
      <c r="F42" s="410" t="s">
        <v>649</v>
      </c>
      <c r="G42" s="410" t="s">
        <v>1517</v>
      </c>
      <c r="H42" s="470" t="s">
        <v>235</v>
      </c>
      <c r="I42" s="415" t="s">
        <v>66</v>
      </c>
      <c r="J42" s="415" t="s">
        <v>66</v>
      </c>
      <c r="K42" s="471" t="s">
        <v>240</v>
      </c>
      <c r="L42" s="415" t="s">
        <v>325</v>
      </c>
      <c r="M42" s="472">
        <v>89.99</v>
      </c>
      <c r="N42" s="417">
        <v>1</v>
      </c>
      <c r="O42" s="418">
        <v>6</v>
      </c>
      <c r="P42" s="412">
        <f>84/16</f>
        <v>5.25</v>
      </c>
      <c r="Q42" s="412">
        <v>12</v>
      </c>
      <c r="R42" s="412">
        <v>9.1</v>
      </c>
      <c r="S42" s="786" t="s">
        <v>1623</v>
      </c>
      <c r="T42" s="412">
        <f>CONVERT(2640,"g","lbm")</f>
        <v>5.8202037216807678</v>
      </c>
      <c r="U42" s="518">
        <v>12.75</v>
      </c>
      <c r="V42" s="518">
        <v>3.9</v>
      </c>
      <c r="W42" s="519">
        <v>9.875</v>
      </c>
      <c r="X42" s="473" t="s">
        <v>66</v>
      </c>
      <c r="Y42" s="473" t="s">
        <v>66</v>
      </c>
      <c r="Z42" s="473" t="s">
        <v>66</v>
      </c>
      <c r="AA42" s="474" t="s">
        <v>66</v>
      </c>
      <c r="AB42" s="412">
        <v>38</v>
      </c>
      <c r="AC42" s="412">
        <v>24</v>
      </c>
      <c r="AD42" s="412">
        <v>13.25</v>
      </c>
      <c r="AE42" s="420">
        <v>11</v>
      </c>
      <c r="AF42" s="412">
        <f>AC42*AD42*AE42/(12^3)</f>
        <v>2.0243055555555554</v>
      </c>
      <c r="AG42" s="469" t="s">
        <v>2201</v>
      </c>
      <c r="AH42" s="469" t="s">
        <v>2202</v>
      </c>
      <c r="AI42" s="469" t="s">
        <v>2203</v>
      </c>
      <c r="AJ42" s="469" t="s">
        <v>2204</v>
      </c>
      <c r="AK42" s="469" t="s">
        <v>2205</v>
      </c>
      <c r="AL42" s="469" t="s">
        <v>2206</v>
      </c>
      <c r="AM42" s="469" t="s">
        <v>2207</v>
      </c>
      <c r="AN42" s="469"/>
      <c r="AO42" s="469" t="s">
        <v>2208</v>
      </c>
      <c r="AP42" s="476" t="s">
        <v>2084</v>
      </c>
    </row>
    <row r="43" spans="1:335" s="410" customFormat="1" x14ac:dyDescent="0.25">
      <c r="A43" s="410" t="s">
        <v>228</v>
      </c>
      <c r="B43" s="411"/>
      <c r="C43" s="421" t="s">
        <v>1617</v>
      </c>
      <c r="D43" s="412"/>
      <c r="E43" s="421" t="s">
        <v>2075</v>
      </c>
      <c r="F43" s="410" t="s">
        <v>1636</v>
      </c>
      <c r="G43" s="410" t="s">
        <v>1517</v>
      </c>
      <c r="H43" s="415" t="s">
        <v>857</v>
      </c>
      <c r="I43" s="415" t="s">
        <v>66</v>
      </c>
      <c r="J43" s="415" t="s">
        <v>66</v>
      </c>
      <c r="K43" s="471" t="s">
        <v>240</v>
      </c>
      <c r="L43" s="415" t="s">
        <v>325</v>
      </c>
      <c r="M43" s="416">
        <v>39.99</v>
      </c>
      <c r="N43" s="417">
        <v>1</v>
      </c>
      <c r="O43" s="418">
        <v>12</v>
      </c>
      <c r="P43" s="412">
        <v>1.7306287581512889</v>
      </c>
      <c r="Q43" s="412"/>
      <c r="R43" s="412"/>
      <c r="S43" s="420"/>
      <c r="T43" s="412">
        <f>CONVERT(910,"g","lbm")</f>
        <v>2.0062065858823859</v>
      </c>
      <c r="U43" s="412">
        <v>8.625</v>
      </c>
      <c r="V43" s="412">
        <v>1.75</v>
      </c>
      <c r="W43" s="420">
        <v>11.375</v>
      </c>
      <c r="X43" s="473" t="s">
        <v>66</v>
      </c>
      <c r="Y43" s="473" t="s">
        <v>66</v>
      </c>
      <c r="Z43" s="473" t="s">
        <v>66</v>
      </c>
      <c r="AA43" s="474" t="s">
        <v>66</v>
      </c>
      <c r="AB43" s="412">
        <v>25.75</v>
      </c>
      <c r="AC43" s="412">
        <v>12</v>
      </c>
      <c r="AD43" s="412">
        <v>11.25</v>
      </c>
      <c r="AE43" s="420">
        <v>18.75</v>
      </c>
      <c r="AF43" s="412">
        <f>AC43*AD43*AE43/(12^3)</f>
        <v>1.46484375</v>
      </c>
      <c r="AG43" s="469" t="s">
        <v>2210</v>
      </c>
      <c r="AH43" s="410" t="s">
        <v>2211</v>
      </c>
      <c r="AI43" s="469" t="s">
        <v>2212</v>
      </c>
      <c r="AJ43" s="410" t="s">
        <v>2213</v>
      </c>
      <c r="AK43" s="410" t="s">
        <v>2214</v>
      </c>
      <c r="AL43" s="469" t="s">
        <v>2215</v>
      </c>
      <c r="AO43" s="410" t="s">
        <v>2209</v>
      </c>
      <c r="AP43" s="476" t="s">
        <v>2084</v>
      </c>
    </row>
  </sheetData>
  <dataValidations xWindow="367" yWindow="483" count="1">
    <dataValidation allowBlank="1" showErrorMessage="1" sqref="AH1:AH4 AI1:AM7 AQ13:XFD13 AO13 AO1:XFD12 AM26 AK26 AI18:AI1048576 AK27:AM1048576 AN15:XFD1048576 AJ9:AJ1048576 AN1:AN14 AK8:AM25 AI8:AI15 AO14:XFD14 AH7:AH14 A15:AH1048576 A1:AG14"/>
  </dataValidations>
  <pageMargins left="0.5" right="0.5" top="0.5" bottom="0.5" header="0.3" footer="0.3"/>
  <pageSetup orientation="landscape" r:id="rId1"/>
  <ignoredErrors>
    <ignoredError sqref="H4:H6 H17:H20 H8:H10 H12 H35:H43 H22:H33 H15" numberStoredAsText="1"/>
    <ignoredError sqref="P5:T5 AF4:AF6 P6:X6 Y6:AE6 P15 P17 P8:S8 AF9 P9 P10:S10 AF10 Y10:AA10 U10:W10 AB10:AE10 P11:P12 P22 P25:P26 P18:P19 P27 P23:P24 P38:P40 P33:P37 P41:P42 AF12:AF13 AF17 AF15 AF22 AF26 AF11 AF27:AF31 AF23:AF25 AF18:AF21 AF14 AF33:AF43 T8:T9 T17:W20 T11:T12 T22:T27 T33:T35 T38:T40 T42:T43 X5 AB33:AB40 T4 P4 P20:P21 P31 P28 P30 T15:W15" unlockedFormula="1"/>
    <ignoredError sqref="P29 T10" formula="1" unlockedFormula="1"/>
    <ignoredError sqref="X10" 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T300"/>
  <sheetViews>
    <sheetView zoomScaleNormal="100" workbookViewId="0">
      <pane xSplit="5" ySplit="2" topLeftCell="F3" activePane="bottomRight" state="frozenSplit"/>
      <selection pane="topRight" activeCell="E1" sqref="E1"/>
      <selection pane="bottomLeft"/>
      <selection pane="bottomRight" activeCell="M1" sqref="M1:M1048576"/>
    </sheetView>
  </sheetViews>
  <sheetFormatPr defaultRowHeight="13.2" x14ac:dyDescent="0.25"/>
  <cols>
    <col min="1" max="1" width="12" customWidth="1"/>
    <col min="2" max="2" width="8" style="22" customWidth="1"/>
    <col min="3" max="3" width="17.6640625" bestFit="1" customWidth="1"/>
    <col min="4" max="4" width="10" customWidth="1"/>
    <col min="5" max="5" width="43" customWidth="1"/>
    <col min="6" max="6" width="10" customWidth="1"/>
    <col min="7" max="7" width="13.33203125" bestFit="1" customWidth="1"/>
    <col min="8" max="9" width="14.6640625" customWidth="1"/>
    <col min="10" max="10" width="17.88671875" bestFit="1" customWidth="1"/>
    <col min="11" max="11" width="12.33203125" customWidth="1"/>
    <col min="12" max="12" width="10.6640625" customWidth="1"/>
    <col min="13" max="13" width="7.6640625" customWidth="1"/>
    <col min="14" max="14" width="6" customWidth="1"/>
    <col min="15" max="15" width="6.44140625" style="282" customWidth="1"/>
    <col min="16" max="18" width="12.33203125" style="177" customWidth="1"/>
    <col min="19" max="19" width="12.33203125" style="227" customWidth="1"/>
    <col min="20" max="20" width="9.6640625" style="283" customWidth="1"/>
    <col min="21" max="23" width="9.6640625" customWidth="1"/>
    <col min="24" max="24" width="9.6640625" style="273" customWidth="1"/>
    <col min="25" max="27" width="9.6640625" customWidth="1"/>
    <col min="28" max="28" width="9.6640625" style="273" customWidth="1"/>
    <col min="29" max="30" width="9.6640625" customWidth="1"/>
    <col min="31" max="31" width="9.6640625" style="282" customWidth="1"/>
    <col min="32" max="32" width="9.44140625" customWidth="1"/>
    <col min="33" max="40" width="9.33203125" customWidth="1"/>
  </cols>
  <sheetData>
    <row r="1" spans="1:280" ht="20.25" customHeight="1" thickBot="1" x14ac:dyDescent="0.3">
      <c r="O1" s="467"/>
      <c r="P1" s="484"/>
      <c r="Q1" s="484"/>
      <c r="R1" s="484"/>
      <c r="S1" s="484"/>
      <c r="T1" s="485"/>
      <c r="U1" s="467"/>
      <c r="V1" s="467"/>
      <c r="W1" s="467"/>
      <c r="X1" s="467"/>
      <c r="AA1" s="467"/>
      <c r="AB1" s="467"/>
      <c r="AC1" s="467"/>
      <c r="AD1" s="467"/>
      <c r="AE1" s="467"/>
      <c r="AF1" s="467"/>
    </row>
    <row r="2" spans="1:280" s="351" customFormat="1" ht="41.4" thickBot="1" x14ac:dyDescent="0.25">
      <c r="A2" s="491" t="s">
        <v>19</v>
      </c>
      <c r="B2" s="386" t="s">
        <v>1994</v>
      </c>
      <c r="C2" s="492" t="s">
        <v>26</v>
      </c>
      <c r="D2" s="492" t="s">
        <v>11</v>
      </c>
      <c r="E2" s="492" t="s">
        <v>12</v>
      </c>
      <c r="F2" s="492" t="s">
        <v>13</v>
      </c>
      <c r="G2" s="492" t="s">
        <v>1484</v>
      </c>
      <c r="H2" s="493" t="s">
        <v>115</v>
      </c>
      <c r="I2" s="493" t="s">
        <v>1671</v>
      </c>
      <c r="J2" s="493" t="s">
        <v>1670</v>
      </c>
      <c r="K2" s="493" t="s">
        <v>67</v>
      </c>
      <c r="L2" s="493" t="s">
        <v>324</v>
      </c>
      <c r="M2" s="492" t="s">
        <v>20</v>
      </c>
      <c r="N2" s="492" t="s">
        <v>6</v>
      </c>
      <c r="O2" s="494" t="s">
        <v>7</v>
      </c>
      <c r="P2" s="491" t="s">
        <v>1481</v>
      </c>
      <c r="Q2" s="492" t="s">
        <v>1730</v>
      </c>
      <c r="R2" s="492" t="s">
        <v>1482</v>
      </c>
      <c r="S2" s="494" t="s">
        <v>1483</v>
      </c>
      <c r="T2" s="491" t="s">
        <v>1434</v>
      </c>
      <c r="U2" s="492" t="s">
        <v>1731</v>
      </c>
      <c r="V2" s="492" t="s">
        <v>1435</v>
      </c>
      <c r="W2" s="494" t="s">
        <v>1436</v>
      </c>
      <c r="X2" s="491" t="s">
        <v>1437</v>
      </c>
      <c r="Y2" s="492" t="s">
        <v>1732</v>
      </c>
      <c r="Z2" s="492" t="s">
        <v>1438</v>
      </c>
      <c r="AA2" s="494" t="s">
        <v>1439</v>
      </c>
      <c r="AB2" s="491" t="s">
        <v>1440</v>
      </c>
      <c r="AC2" s="492" t="s">
        <v>1733</v>
      </c>
      <c r="AD2" s="492" t="s">
        <v>1441</v>
      </c>
      <c r="AE2" s="494" t="s">
        <v>1443</v>
      </c>
      <c r="AF2" s="491" t="s">
        <v>1453</v>
      </c>
      <c r="AG2" s="389" t="s">
        <v>21</v>
      </c>
      <c r="AH2" s="389" t="s">
        <v>22</v>
      </c>
      <c r="AI2" s="389" t="s">
        <v>23</v>
      </c>
      <c r="AJ2" s="389" t="s">
        <v>24</v>
      </c>
      <c r="AK2" s="389" t="s">
        <v>25</v>
      </c>
      <c r="AL2" s="389" t="s">
        <v>1103</v>
      </c>
      <c r="AM2" s="389" t="s">
        <v>1104</v>
      </c>
      <c r="AN2" s="389" t="s">
        <v>1105</v>
      </c>
      <c r="AO2" s="390" t="s">
        <v>27</v>
      </c>
      <c r="AP2" s="391" t="s">
        <v>28</v>
      </c>
      <c r="AQ2" s="393" t="s">
        <v>29</v>
      </c>
      <c r="AR2" s="289"/>
      <c r="AS2" s="289"/>
      <c r="AT2" s="289"/>
      <c r="AU2" s="289"/>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c r="CF2" s="289"/>
      <c r="CG2" s="289"/>
      <c r="CH2" s="289"/>
      <c r="CI2" s="289"/>
      <c r="CJ2" s="289"/>
      <c r="CK2" s="289"/>
      <c r="CL2" s="289"/>
      <c r="CM2" s="289"/>
      <c r="CN2" s="289"/>
      <c r="CO2" s="289"/>
      <c r="CP2" s="289"/>
      <c r="CQ2" s="289"/>
      <c r="CR2" s="289"/>
      <c r="CS2" s="289"/>
      <c r="CT2" s="289"/>
      <c r="CU2" s="289"/>
      <c r="CV2" s="289"/>
      <c r="CW2" s="289"/>
      <c r="CX2" s="289"/>
      <c r="CY2" s="289"/>
      <c r="CZ2" s="289"/>
      <c r="DA2" s="289"/>
      <c r="DB2" s="289"/>
      <c r="DC2" s="289"/>
      <c r="DD2" s="289"/>
      <c r="DE2" s="289"/>
      <c r="DF2" s="289"/>
      <c r="DG2" s="289"/>
      <c r="DH2" s="289"/>
      <c r="DI2" s="289"/>
      <c r="DJ2" s="289"/>
      <c r="DK2" s="289"/>
      <c r="DL2" s="289"/>
      <c r="DM2" s="289"/>
      <c r="DN2" s="289"/>
      <c r="DO2" s="289"/>
      <c r="DP2" s="289"/>
      <c r="DQ2" s="289"/>
      <c r="DR2" s="289"/>
      <c r="DS2" s="289"/>
      <c r="DT2" s="289"/>
      <c r="DU2" s="289"/>
      <c r="DV2" s="289"/>
      <c r="DW2" s="289"/>
      <c r="DX2" s="289"/>
      <c r="DY2" s="289"/>
      <c r="DZ2" s="289"/>
      <c r="EA2" s="289"/>
      <c r="EB2" s="289"/>
      <c r="EC2" s="289"/>
      <c r="ED2" s="289"/>
      <c r="EE2" s="289"/>
      <c r="EF2" s="289"/>
      <c r="EG2" s="289"/>
      <c r="EH2" s="289"/>
      <c r="EI2" s="289"/>
      <c r="EJ2" s="289"/>
      <c r="EK2" s="289"/>
      <c r="EL2" s="289"/>
      <c r="EM2" s="289"/>
      <c r="EN2" s="289"/>
      <c r="EO2" s="289"/>
      <c r="EP2" s="289"/>
      <c r="EQ2" s="289"/>
      <c r="ER2" s="289"/>
      <c r="ES2" s="289"/>
      <c r="ET2" s="289"/>
      <c r="EU2" s="289"/>
      <c r="EV2" s="289"/>
      <c r="EW2" s="289"/>
      <c r="EX2" s="289"/>
      <c r="EY2" s="289"/>
      <c r="EZ2" s="289"/>
      <c r="FA2" s="289"/>
      <c r="FB2" s="289"/>
      <c r="FC2" s="289"/>
      <c r="FD2" s="289"/>
      <c r="FE2" s="289"/>
      <c r="FF2" s="289"/>
      <c r="FG2" s="289"/>
      <c r="FH2" s="289"/>
      <c r="FI2" s="289"/>
      <c r="FJ2" s="289"/>
      <c r="FK2" s="289"/>
      <c r="FL2" s="289"/>
      <c r="FM2" s="289"/>
      <c r="FN2" s="289"/>
      <c r="FO2" s="289"/>
      <c r="FP2" s="289"/>
      <c r="FQ2" s="289"/>
      <c r="FR2" s="289"/>
      <c r="FS2" s="289"/>
      <c r="FT2" s="289"/>
      <c r="FU2" s="289"/>
      <c r="FV2" s="289"/>
      <c r="FW2" s="289"/>
      <c r="FX2" s="289"/>
      <c r="FY2" s="289"/>
      <c r="FZ2" s="289"/>
      <c r="GA2" s="289"/>
      <c r="GB2" s="289"/>
      <c r="GC2" s="289"/>
      <c r="GD2" s="289"/>
      <c r="GE2" s="289"/>
      <c r="GF2" s="289"/>
      <c r="GG2" s="289"/>
      <c r="GH2" s="289"/>
      <c r="GI2" s="289"/>
      <c r="GJ2" s="289"/>
      <c r="GK2" s="289"/>
      <c r="GL2" s="289"/>
      <c r="GM2" s="289"/>
      <c r="GN2" s="289"/>
      <c r="GO2" s="289"/>
      <c r="GP2" s="289"/>
      <c r="GQ2" s="289"/>
      <c r="GR2" s="289"/>
      <c r="GS2" s="289"/>
      <c r="GT2" s="289"/>
      <c r="GU2" s="289"/>
      <c r="GV2" s="289"/>
      <c r="GW2" s="289"/>
      <c r="GX2" s="289"/>
      <c r="GY2" s="289"/>
      <c r="GZ2" s="289"/>
      <c r="HA2" s="289"/>
      <c r="HB2" s="289"/>
      <c r="HC2" s="289"/>
      <c r="HD2" s="289"/>
      <c r="HE2" s="289"/>
      <c r="HF2" s="289"/>
      <c r="HG2" s="289"/>
      <c r="HH2" s="289"/>
      <c r="HI2" s="289"/>
      <c r="HJ2" s="289"/>
      <c r="HK2" s="289"/>
      <c r="HL2" s="289"/>
      <c r="HM2" s="289"/>
      <c r="HN2" s="289"/>
      <c r="HO2" s="289"/>
      <c r="HP2" s="289"/>
      <c r="HQ2" s="289"/>
      <c r="HR2" s="289"/>
      <c r="HS2" s="289"/>
      <c r="HT2" s="289"/>
      <c r="HU2" s="289"/>
      <c r="HV2" s="289"/>
      <c r="HW2" s="289"/>
      <c r="HX2" s="289"/>
      <c r="HY2" s="289"/>
      <c r="HZ2" s="289"/>
      <c r="IA2" s="289"/>
      <c r="IB2" s="289"/>
      <c r="IC2" s="289"/>
      <c r="ID2" s="289"/>
      <c r="IE2" s="289"/>
      <c r="IF2" s="289"/>
      <c r="IG2" s="289"/>
      <c r="IH2" s="289"/>
      <c r="II2" s="289"/>
      <c r="IJ2" s="289"/>
      <c r="IK2" s="289"/>
      <c r="IL2" s="289"/>
      <c r="IM2" s="289"/>
      <c r="IN2" s="289"/>
      <c r="IO2" s="289"/>
      <c r="IP2" s="289"/>
      <c r="IQ2" s="289"/>
      <c r="IR2" s="289"/>
      <c r="IS2" s="289"/>
      <c r="IT2" s="289"/>
      <c r="IU2" s="289"/>
      <c r="IV2" s="289"/>
      <c r="IW2" s="289"/>
      <c r="IX2" s="289"/>
      <c r="IY2" s="289"/>
      <c r="IZ2" s="289"/>
      <c r="JA2" s="289"/>
      <c r="JB2" s="289"/>
      <c r="JC2" s="289"/>
      <c r="JD2" s="289"/>
      <c r="JE2" s="289"/>
      <c r="JF2" s="289"/>
      <c r="JG2" s="289"/>
      <c r="JH2" s="289"/>
      <c r="JI2" s="289"/>
      <c r="JJ2" s="289"/>
      <c r="JK2" s="289"/>
      <c r="JL2" s="289"/>
      <c r="JM2" s="289"/>
      <c r="JN2" s="289"/>
      <c r="JO2" s="289"/>
      <c r="JP2" s="289"/>
      <c r="JQ2" s="289"/>
      <c r="JR2" s="289"/>
      <c r="JS2" s="289"/>
      <c r="JT2" s="289"/>
    </row>
    <row r="3" spans="1:280" s="16" customFormat="1" ht="13.8" x14ac:dyDescent="0.3">
      <c r="A3" s="16" t="s">
        <v>181</v>
      </c>
      <c r="B3" s="141"/>
      <c r="C3" s="21" t="s">
        <v>42</v>
      </c>
      <c r="E3" s="26" t="s">
        <v>2034</v>
      </c>
      <c r="F3" s="16" t="s">
        <v>111</v>
      </c>
      <c r="G3" s="16" t="s">
        <v>1518</v>
      </c>
      <c r="H3" s="31" t="s">
        <v>142</v>
      </c>
      <c r="I3" s="269"/>
      <c r="J3" s="269"/>
      <c r="K3" s="57" t="s">
        <v>2035</v>
      </c>
      <c r="L3" s="29" t="s">
        <v>326</v>
      </c>
      <c r="M3" s="6">
        <v>19.989999999999998</v>
      </c>
      <c r="N3" s="137">
        <v>12</v>
      </c>
      <c r="O3" s="229">
        <v>24</v>
      </c>
      <c r="P3" s="35">
        <f>3/16</f>
        <v>0.1875</v>
      </c>
      <c r="Q3" s="35">
        <v>7</v>
      </c>
      <c r="R3" s="35">
        <v>1.25</v>
      </c>
      <c r="S3" s="72">
        <v>2.25</v>
      </c>
      <c r="T3" s="35">
        <f>5.1/16</f>
        <v>0.31874999999999998</v>
      </c>
      <c r="U3" s="35">
        <v>4.875</v>
      </c>
      <c r="V3" s="35">
        <v>2.125</v>
      </c>
      <c r="W3" s="35">
        <v>8.75</v>
      </c>
      <c r="X3" s="134"/>
      <c r="Y3" s="135"/>
      <c r="Z3" s="135"/>
      <c r="AA3" s="135"/>
      <c r="AB3" s="134"/>
      <c r="AC3" s="135"/>
      <c r="AD3" s="135"/>
      <c r="AE3" s="136"/>
      <c r="AF3" s="17">
        <f>AC3*AD3*AE3/(12^3)</f>
        <v>0</v>
      </c>
      <c r="AG3" s="26" t="s">
        <v>143</v>
      </c>
      <c r="AH3" s="26" t="s">
        <v>37</v>
      </c>
      <c r="AI3" s="16" t="s">
        <v>145</v>
      </c>
      <c r="AJ3" s="16" t="s">
        <v>146</v>
      </c>
      <c r="AK3" s="24" t="s">
        <v>144</v>
      </c>
      <c r="AL3" s="22" t="s">
        <v>147</v>
      </c>
      <c r="AM3" s="22" t="s">
        <v>385</v>
      </c>
      <c r="AN3" s="16" t="s">
        <v>114</v>
      </c>
    </row>
    <row r="4" spans="1:280" s="16" customFormat="1" ht="13.8" x14ac:dyDescent="0.3">
      <c r="A4" s="20" t="s">
        <v>181</v>
      </c>
      <c r="B4" s="141"/>
      <c r="C4" s="21" t="s">
        <v>215</v>
      </c>
      <c r="D4" s="20"/>
      <c r="E4" s="26" t="s">
        <v>1656</v>
      </c>
      <c r="F4" s="20" t="s">
        <v>111</v>
      </c>
      <c r="G4" s="20" t="s">
        <v>1507</v>
      </c>
      <c r="H4" s="30" t="s">
        <v>217</v>
      </c>
      <c r="I4" s="269"/>
      <c r="J4" s="269"/>
      <c r="K4" s="57" t="s">
        <v>289</v>
      </c>
      <c r="L4" s="38" t="s">
        <v>325</v>
      </c>
      <c r="M4" s="7">
        <v>9.99</v>
      </c>
      <c r="N4" s="37">
        <v>20</v>
      </c>
      <c r="O4" s="228">
        <v>200</v>
      </c>
      <c r="P4" s="35">
        <f>0.8/16</f>
        <v>0.05</v>
      </c>
      <c r="Q4" s="35">
        <v>2</v>
      </c>
      <c r="R4" s="35">
        <v>1.25</v>
      </c>
      <c r="S4" s="72">
        <v>3.625</v>
      </c>
      <c r="T4" s="135">
        <v>0.1</v>
      </c>
      <c r="U4" s="135">
        <v>5.5</v>
      </c>
      <c r="V4" s="135">
        <v>1</v>
      </c>
      <c r="W4" s="135">
        <v>7.6</v>
      </c>
      <c r="X4" s="134"/>
      <c r="Y4" s="135"/>
      <c r="Z4" s="135"/>
      <c r="AA4" s="135"/>
      <c r="AB4" s="134"/>
      <c r="AC4" s="35">
        <f>CONVERT(0.38,"m","in")</f>
        <v>14.960629921259843</v>
      </c>
      <c r="AD4" s="35">
        <f>CONVERT(0.431,"m","in")</f>
        <v>16.968503937007874</v>
      </c>
      <c r="AE4" s="72">
        <f>CONVERT(0.785,"m","in")</f>
        <v>30.905511811023622</v>
      </c>
      <c r="AF4" s="35">
        <f>AC4*AD4*AE4/(12^3)</f>
        <v>4.5403113507816402</v>
      </c>
      <c r="AG4" s="26" t="s">
        <v>219</v>
      </c>
      <c r="AH4" s="26" t="s">
        <v>218</v>
      </c>
      <c r="AI4" s="20" t="s">
        <v>220</v>
      </c>
      <c r="AJ4" s="20" t="s">
        <v>221</v>
      </c>
      <c r="AK4" s="21"/>
      <c r="AL4" s="39" t="s">
        <v>216</v>
      </c>
      <c r="AM4" s="39" t="s">
        <v>385</v>
      </c>
      <c r="AN4" s="20" t="s">
        <v>114</v>
      </c>
    </row>
    <row r="5" spans="1:280" s="16" customFormat="1" x14ac:dyDescent="0.25">
      <c r="A5" s="16" t="s">
        <v>181</v>
      </c>
      <c r="B5" s="141"/>
      <c r="C5" s="16" t="s">
        <v>866</v>
      </c>
      <c r="E5" s="36" t="s">
        <v>1664</v>
      </c>
      <c r="F5" s="16" t="s">
        <v>111</v>
      </c>
      <c r="G5" s="16" t="s">
        <v>1518</v>
      </c>
      <c r="H5" s="66" t="s">
        <v>891</v>
      </c>
      <c r="I5" s="294"/>
      <c r="J5" s="294"/>
      <c r="K5" s="57" t="s">
        <v>289</v>
      </c>
      <c r="L5" s="33" t="s">
        <v>326</v>
      </c>
      <c r="M5" s="6">
        <v>29.99</v>
      </c>
      <c r="N5" s="137">
        <v>1</v>
      </c>
      <c r="O5" s="229"/>
      <c r="P5" s="35">
        <f>5.9/16</f>
        <v>0.36875000000000002</v>
      </c>
      <c r="Q5" s="35">
        <v>2.375</v>
      </c>
      <c r="R5" s="35">
        <v>2.375</v>
      </c>
      <c r="S5" s="72">
        <v>3.625</v>
      </c>
      <c r="T5" s="35">
        <f>6.9/16</f>
        <v>0.43125000000000002</v>
      </c>
      <c r="U5" s="35">
        <v>2.5625</v>
      </c>
      <c r="V5" s="35">
        <v>2.625</v>
      </c>
      <c r="W5" s="35">
        <v>5.75</v>
      </c>
      <c r="X5" s="134"/>
      <c r="Y5" s="135"/>
      <c r="Z5" s="135"/>
      <c r="AA5" s="135"/>
      <c r="AB5" s="134"/>
      <c r="AC5" s="135"/>
      <c r="AD5" s="135"/>
      <c r="AE5" s="136"/>
      <c r="AF5" s="35">
        <f t="shared" ref="AF5:AF8" si="0">AC5*AD5*AE5/(12^3)</f>
        <v>0</v>
      </c>
      <c r="AG5" s="24" t="s">
        <v>831</v>
      </c>
      <c r="AH5" s="24" t="s">
        <v>832</v>
      </c>
      <c r="AI5" s="24" t="s">
        <v>833</v>
      </c>
      <c r="AJ5" s="22" t="s">
        <v>834</v>
      </c>
      <c r="AK5" s="22" t="s">
        <v>835</v>
      </c>
      <c r="AL5" s="41"/>
      <c r="AM5" s="22" t="s">
        <v>385</v>
      </c>
    </row>
    <row r="6" spans="1:280" s="16" customFormat="1" x14ac:dyDescent="0.25">
      <c r="A6" s="16" t="s">
        <v>181</v>
      </c>
      <c r="B6" s="141"/>
      <c r="C6" s="16" t="s">
        <v>1625</v>
      </c>
      <c r="E6" s="36" t="s">
        <v>1626</v>
      </c>
      <c r="F6" s="16" t="s">
        <v>111</v>
      </c>
      <c r="G6" s="16" t="s">
        <v>1624</v>
      </c>
      <c r="H6" s="673" t="s">
        <v>2872</v>
      </c>
      <c r="I6" s="673" t="s">
        <v>2873</v>
      </c>
      <c r="J6" s="673">
        <v>20054269002217</v>
      </c>
      <c r="K6" s="352"/>
      <c r="L6" s="352"/>
      <c r="M6" s="7">
        <v>24.99</v>
      </c>
      <c r="N6" s="37">
        <v>6</v>
      </c>
      <c r="O6" s="228">
        <v>48</v>
      </c>
      <c r="P6" s="35">
        <f>4/16</f>
        <v>0.25</v>
      </c>
      <c r="Q6" s="35">
        <v>3.25</v>
      </c>
      <c r="R6" s="35">
        <v>1.25</v>
      </c>
      <c r="S6" s="72">
        <v>2.375</v>
      </c>
      <c r="T6" s="135"/>
      <c r="U6" s="135"/>
      <c r="V6" s="135"/>
      <c r="W6" s="135"/>
      <c r="X6" s="134"/>
      <c r="Y6" s="135"/>
      <c r="Z6" s="135"/>
      <c r="AA6" s="135"/>
      <c r="AB6" s="134"/>
      <c r="AC6" s="135"/>
      <c r="AD6" s="135"/>
      <c r="AE6" s="136"/>
      <c r="AF6" s="35">
        <f t="shared" si="0"/>
        <v>0</v>
      </c>
      <c r="AG6" s="24"/>
      <c r="AH6" s="24"/>
      <c r="AI6" s="24"/>
      <c r="AJ6" s="22"/>
      <c r="AK6" s="22"/>
      <c r="AL6" s="41"/>
      <c r="AM6" s="22"/>
    </row>
    <row r="7" spans="1:280" s="16" customFormat="1" x14ac:dyDescent="0.25">
      <c r="A7" s="16" t="s">
        <v>181</v>
      </c>
      <c r="B7" s="141"/>
      <c r="C7" s="16" t="s">
        <v>2681</v>
      </c>
      <c r="E7" s="36" t="s">
        <v>1627</v>
      </c>
      <c r="F7" s="16" t="s">
        <v>111</v>
      </c>
      <c r="G7" s="16" t="s">
        <v>1624</v>
      </c>
      <c r="H7" s="592">
        <v>54269000899</v>
      </c>
      <c r="I7" s="356">
        <v>10054269000896</v>
      </c>
      <c r="J7" s="356">
        <v>20054269000893</v>
      </c>
      <c r="K7" s="352"/>
      <c r="L7" s="352"/>
      <c r="M7" s="7">
        <v>29.99</v>
      </c>
      <c r="N7" s="37">
        <v>6</v>
      </c>
      <c r="O7" s="228">
        <v>48</v>
      </c>
      <c r="P7" s="35">
        <f>5/16</f>
        <v>0.3125</v>
      </c>
      <c r="Q7" s="135"/>
      <c r="R7" s="135"/>
      <c r="S7" s="136"/>
      <c r="T7" s="135"/>
      <c r="U7" s="135"/>
      <c r="V7" s="135"/>
      <c r="W7" s="135"/>
      <c r="X7" s="134"/>
      <c r="Y7" s="135"/>
      <c r="Z7" s="135"/>
      <c r="AA7" s="135"/>
      <c r="AB7" s="134"/>
      <c r="AC7" s="135"/>
      <c r="AD7" s="135"/>
      <c r="AE7" s="136"/>
      <c r="AF7" s="35">
        <f t="shared" si="0"/>
        <v>0</v>
      </c>
      <c r="AG7" s="24"/>
      <c r="AH7" s="24"/>
      <c r="AI7" s="24"/>
      <c r="AJ7" s="22"/>
      <c r="AK7" s="22"/>
      <c r="AL7" s="41"/>
      <c r="AM7" s="22"/>
    </row>
    <row r="8" spans="1:280" s="16" customFormat="1" x14ac:dyDescent="0.25">
      <c r="A8" s="16" t="s">
        <v>181</v>
      </c>
      <c r="B8" s="141"/>
      <c r="C8" s="18" t="s">
        <v>8</v>
      </c>
      <c r="E8" s="36" t="s">
        <v>1657</v>
      </c>
      <c r="F8" s="16" t="s">
        <v>111</v>
      </c>
      <c r="G8" s="16" t="s">
        <v>1507</v>
      </c>
      <c r="H8" s="31" t="s">
        <v>4</v>
      </c>
      <c r="I8" s="49">
        <v>10016869050206</v>
      </c>
      <c r="J8" s="49">
        <v>20016869050203</v>
      </c>
      <c r="K8" s="57" t="s">
        <v>289</v>
      </c>
      <c r="L8" s="57" t="s">
        <v>325</v>
      </c>
      <c r="M8" s="6">
        <v>29.99</v>
      </c>
      <c r="N8" s="37">
        <v>6</v>
      </c>
      <c r="O8" s="228">
        <v>48</v>
      </c>
      <c r="P8" s="35">
        <f>5.5/16</f>
        <v>0.34375</v>
      </c>
      <c r="Q8" s="35">
        <v>3</v>
      </c>
      <c r="R8" s="35">
        <v>1.625</v>
      </c>
      <c r="S8" s="72">
        <v>5.5</v>
      </c>
      <c r="T8" s="135">
        <v>0.45</v>
      </c>
      <c r="U8" s="135">
        <v>3.5</v>
      </c>
      <c r="V8" s="135">
        <v>1.5</v>
      </c>
      <c r="W8" s="135">
        <v>9</v>
      </c>
      <c r="X8" s="134">
        <v>2.95</v>
      </c>
      <c r="Y8" s="135">
        <v>10</v>
      </c>
      <c r="Z8" s="135">
        <v>9.25</v>
      </c>
      <c r="AA8" s="135">
        <v>7.25</v>
      </c>
      <c r="AB8" s="46">
        <f>CONVERT(11000,"g","lbm")</f>
        <v>24.250848840336534</v>
      </c>
      <c r="AC8" s="35">
        <f>CONVERT(0.415,"m","in")</f>
        <v>16.338582677165356</v>
      </c>
      <c r="AD8" s="35">
        <f>CONVERT(0.395,"m","in")</f>
        <v>15.551181102362206</v>
      </c>
      <c r="AE8" s="72">
        <f>CONVERT(0.505,"m","in")</f>
        <v>19.881889763779526</v>
      </c>
      <c r="AF8" s="35">
        <f t="shared" si="0"/>
        <v>2.9234231548716085</v>
      </c>
      <c r="AG8" s="26" t="s">
        <v>610</v>
      </c>
      <c r="AH8" s="26" t="s">
        <v>611</v>
      </c>
      <c r="AI8" s="21" t="s">
        <v>381</v>
      </c>
      <c r="AJ8" s="21" t="s">
        <v>612</v>
      </c>
      <c r="AK8" s="21" t="s">
        <v>613</v>
      </c>
      <c r="AL8" s="22" t="s">
        <v>31</v>
      </c>
      <c r="AM8" s="22" t="s">
        <v>385</v>
      </c>
      <c r="AN8" s="16" t="s">
        <v>114</v>
      </c>
    </row>
    <row r="9" spans="1:280" s="20" customFormat="1" x14ac:dyDescent="0.25">
      <c r="A9" s="16" t="s">
        <v>181</v>
      </c>
      <c r="B9" s="141"/>
      <c r="C9" s="18" t="s">
        <v>97</v>
      </c>
      <c r="D9" s="16"/>
      <c r="E9" s="36" t="s">
        <v>1658</v>
      </c>
      <c r="F9" s="16" t="s">
        <v>111</v>
      </c>
      <c r="G9" s="16" t="s">
        <v>1507</v>
      </c>
      <c r="H9" s="73" t="s">
        <v>433</v>
      </c>
      <c r="I9" s="672">
        <v>10054269000292</v>
      </c>
      <c r="J9" s="672">
        <v>20054269000299</v>
      </c>
      <c r="K9" s="57" t="s">
        <v>289</v>
      </c>
      <c r="L9" s="57" t="s">
        <v>326</v>
      </c>
      <c r="M9" s="6">
        <v>34.99</v>
      </c>
      <c r="N9" s="37">
        <v>6</v>
      </c>
      <c r="O9" s="228">
        <v>48</v>
      </c>
      <c r="P9" s="35">
        <f>6.5/16</f>
        <v>0.40625</v>
      </c>
      <c r="Q9" s="35">
        <v>4</v>
      </c>
      <c r="R9" s="35">
        <v>1.625</v>
      </c>
      <c r="S9" s="72">
        <v>6.125</v>
      </c>
      <c r="T9" s="135">
        <v>0.5</v>
      </c>
      <c r="U9" s="135">
        <v>4.5</v>
      </c>
      <c r="V9" s="135">
        <v>1.5</v>
      </c>
      <c r="W9" s="135">
        <v>9</v>
      </c>
      <c r="X9" s="134"/>
      <c r="Y9" s="135"/>
      <c r="Z9" s="135"/>
      <c r="AA9" s="135"/>
      <c r="AB9" s="134"/>
      <c r="AC9" s="135"/>
      <c r="AD9" s="135"/>
      <c r="AE9" s="136"/>
      <c r="AF9" s="17">
        <f t="shared" ref="AF9:AF22" si="1">AC9*AD9*AE9/(12^3)</f>
        <v>0</v>
      </c>
      <c r="AG9" s="24" t="s">
        <v>99</v>
      </c>
      <c r="AH9" s="16" t="s">
        <v>100</v>
      </c>
      <c r="AI9" s="24" t="s">
        <v>30</v>
      </c>
      <c r="AJ9" s="24" t="s">
        <v>98</v>
      </c>
      <c r="AK9" s="24" t="s">
        <v>184</v>
      </c>
      <c r="AL9" s="22" t="s">
        <v>101</v>
      </c>
      <c r="AM9" s="22" t="s">
        <v>385</v>
      </c>
      <c r="AN9" s="16" t="s">
        <v>114</v>
      </c>
    </row>
    <row r="10" spans="1:280" s="16" customFormat="1" x14ac:dyDescent="0.25">
      <c r="A10" s="16" t="s">
        <v>181</v>
      </c>
      <c r="B10" s="141"/>
      <c r="C10" s="18" t="s">
        <v>376</v>
      </c>
      <c r="E10" s="39" t="s">
        <v>1659</v>
      </c>
      <c r="F10" s="16" t="s">
        <v>111</v>
      </c>
      <c r="G10" s="16" t="s">
        <v>1507</v>
      </c>
      <c r="H10" s="59" t="s">
        <v>378</v>
      </c>
      <c r="I10" s="68">
        <v>10054269000445</v>
      </c>
      <c r="J10" s="68">
        <v>20054269000442</v>
      </c>
      <c r="K10" s="57" t="s">
        <v>289</v>
      </c>
      <c r="L10" s="29" t="s">
        <v>325</v>
      </c>
      <c r="M10" s="8">
        <v>29.99</v>
      </c>
      <c r="N10" s="37">
        <v>6</v>
      </c>
      <c r="O10" s="228">
        <v>48</v>
      </c>
      <c r="P10" s="35">
        <f>5.5/16</f>
        <v>0.34375</v>
      </c>
      <c r="Q10" s="35">
        <v>3</v>
      </c>
      <c r="R10" s="35">
        <v>1.625</v>
      </c>
      <c r="S10" s="72">
        <v>5.5</v>
      </c>
      <c r="T10" s="35">
        <f>6.9/16</f>
        <v>0.43125000000000002</v>
      </c>
      <c r="U10" s="35">
        <v>6.6875</v>
      </c>
      <c r="V10" s="35">
        <v>1.5</v>
      </c>
      <c r="W10" s="35">
        <v>8.6875</v>
      </c>
      <c r="X10" s="134">
        <v>3.15</v>
      </c>
      <c r="Y10" s="135">
        <v>10</v>
      </c>
      <c r="Z10" s="135">
        <v>9.5</v>
      </c>
      <c r="AA10" s="135">
        <v>7</v>
      </c>
      <c r="AB10" s="46">
        <f>CONVERT(12160,"g","lbm")</f>
        <v>26.808211081681112</v>
      </c>
      <c r="AC10" s="35">
        <f>CONVERT(0.523,"m","in")</f>
        <v>20.590551181102363</v>
      </c>
      <c r="AD10" s="35">
        <f>CONVERT(0.383,"m","in")</f>
        <v>15.078740157480315</v>
      </c>
      <c r="AE10" s="72">
        <f>CONVERT(0.504,"m","in")</f>
        <v>19.84251968503937</v>
      </c>
      <c r="AF10" s="17">
        <f t="shared" si="1"/>
        <v>3.5652181704625883</v>
      </c>
      <c r="AG10" s="22" t="s">
        <v>379</v>
      </c>
      <c r="AH10" s="22" t="s">
        <v>386</v>
      </c>
      <c r="AI10" s="22" t="s">
        <v>381</v>
      </c>
      <c r="AJ10" s="22" t="s">
        <v>387</v>
      </c>
      <c r="AK10" s="22" t="s">
        <v>388</v>
      </c>
      <c r="AL10" s="22" t="s">
        <v>389</v>
      </c>
      <c r="AM10" s="22" t="s">
        <v>385</v>
      </c>
      <c r="AN10" s="22" t="s">
        <v>114</v>
      </c>
    </row>
    <row r="11" spans="1:280" s="20" customFormat="1" x14ac:dyDescent="0.25">
      <c r="A11" s="16" t="s">
        <v>181</v>
      </c>
      <c r="B11" s="366"/>
      <c r="C11" s="18" t="s">
        <v>222</v>
      </c>
      <c r="D11" s="16"/>
      <c r="E11" s="36" t="s">
        <v>1660</v>
      </c>
      <c r="F11" s="16" t="s">
        <v>111</v>
      </c>
      <c r="G11" s="16" t="s">
        <v>1507</v>
      </c>
      <c r="H11" s="55" t="s">
        <v>434</v>
      </c>
      <c r="I11" s="68">
        <v>10054269000520</v>
      </c>
      <c r="J11" s="68">
        <v>20054269000527</v>
      </c>
      <c r="K11" s="57" t="s">
        <v>289</v>
      </c>
      <c r="L11" s="57" t="s">
        <v>325</v>
      </c>
      <c r="M11" s="6">
        <v>49.99</v>
      </c>
      <c r="N11" s="37">
        <v>6</v>
      </c>
      <c r="O11" s="228">
        <v>24</v>
      </c>
      <c r="P11" s="35">
        <f>9.1/16</f>
        <v>0.56874999999999998</v>
      </c>
      <c r="Q11" s="35">
        <v>6</v>
      </c>
      <c r="R11" s="35">
        <v>1.75</v>
      </c>
      <c r="S11" s="72">
        <v>5.125</v>
      </c>
      <c r="T11" s="35">
        <f>10.8/16</f>
        <v>0.67500000000000004</v>
      </c>
      <c r="U11" s="35">
        <v>6.75</v>
      </c>
      <c r="V11" s="35">
        <v>1.75</v>
      </c>
      <c r="W11" s="35">
        <v>12.625</v>
      </c>
      <c r="X11" s="134"/>
      <c r="Y11" s="135"/>
      <c r="Z11" s="135"/>
      <c r="AA11" s="135"/>
      <c r="AB11" s="46">
        <f>CONVERT(9700,"g","lbm")</f>
        <v>21.384839431933123</v>
      </c>
      <c r="AC11" s="35">
        <f>CONVERT(0.53,"m","in")</f>
        <v>20.866141732283463</v>
      </c>
      <c r="AD11" s="35">
        <f>CONVERT(0.36,"m","in")</f>
        <v>14.173228346456693</v>
      </c>
      <c r="AE11" s="72">
        <f>CONVERT(0.42,"m","in")</f>
        <v>16.535433070866141</v>
      </c>
      <c r="AF11" s="17">
        <f t="shared" si="1"/>
        <v>2.8299761323932096</v>
      </c>
      <c r="AG11" s="24" t="s">
        <v>225</v>
      </c>
      <c r="AH11" s="16" t="s">
        <v>226</v>
      </c>
      <c r="AI11" s="24" t="s">
        <v>30</v>
      </c>
      <c r="AJ11" s="24" t="s">
        <v>227</v>
      </c>
      <c r="AK11" s="24" t="s">
        <v>184</v>
      </c>
      <c r="AL11" s="22" t="s">
        <v>224</v>
      </c>
      <c r="AM11" s="22" t="s">
        <v>385</v>
      </c>
      <c r="AN11" s="16" t="s">
        <v>114</v>
      </c>
    </row>
    <row r="12" spans="1:280" s="16" customFormat="1" x14ac:dyDescent="0.25">
      <c r="A12" s="16" t="s">
        <v>181</v>
      </c>
      <c r="B12" s="366"/>
      <c r="C12" s="18" t="s">
        <v>608</v>
      </c>
      <c r="E12" s="36" t="s">
        <v>1661</v>
      </c>
      <c r="F12" s="16" t="s">
        <v>111</v>
      </c>
      <c r="G12" s="16" t="s">
        <v>1485</v>
      </c>
      <c r="H12" s="29" t="s">
        <v>658</v>
      </c>
      <c r="I12" s="354"/>
      <c r="J12" s="354"/>
      <c r="K12" s="57" t="s">
        <v>289</v>
      </c>
      <c r="L12" s="33" t="s">
        <v>325</v>
      </c>
      <c r="M12" s="6">
        <v>29.99</v>
      </c>
      <c r="N12" s="37">
        <v>1</v>
      </c>
      <c r="O12" s="228">
        <v>50</v>
      </c>
      <c r="P12" s="35">
        <f>5.5/16</f>
        <v>0.34375</v>
      </c>
      <c r="Q12" s="35">
        <v>3</v>
      </c>
      <c r="R12" s="35">
        <v>1.625</v>
      </c>
      <c r="S12" s="72">
        <v>5.5</v>
      </c>
      <c r="T12" s="35">
        <f>5.5/16</f>
        <v>0.34375</v>
      </c>
      <c r="U12" s="35">
        <v>3</v>
      </c>
      <c r="V12" s="35">
        <v>1.625</v>
      </c>
      <c r="W12" s="72">
        <v>5.5</v>
      </c>
      <c r="X12" s="134"/>
      <c r="Y12" s="135"/>
      <c r="Z12" s="135"/>
      <c r="AA12" s="135"/>
      <c r="AB12" s="134">
        <v>20.2</v>
      </c>
      <c r="AC12" s="135">
        <v>18</v>
      </c>
      <c r="AD12" s="135">
        <v>13.5</v>
      </c>
      <c r="AE12" s="136">
        <v>8.5</v>
      </c>
      <c r="AF12" s="17">
        <f t="shared" si="1"/>
        <v>1.1953125</v>
      </c>
      <c r="AG12" s="26" t="s">
        <v>610</v>
      </c>
      <c r="AH12" s="26" t="s">
        <v>611</v>
      </c>
      <c r="AI12" s="21" t="s">
        <v>381</v>
      </c>
      <c r="AJ12" s="21" t="s">
        <v>612</v>
      </c>
      <c r="AK12" s="21" t="s">
        <v>613</v>
      </c>
      <c r="AL12" s="22" t="s">
        <v>31</v>
      </c>
      <c r="AM12" s="22" t="s">
        <v>385</v>
      </c>
    </row>
    <row r="13" spans="1:280" s="16" customFormat="1" x14ac:dyDescent="0.25">
      <c r="A13" s="16" t="s">
        <v>181</v>
      </c>
      <c r="B13" s="366"/>
      <c r="C13" s="18" t="s">
        <v>375</v>
      </c>
      <c r="E13" s="39" t="s">
        <v>1662</v>
      </c>
      <c r="F13" s="16" t="s">
        <v>111</v>
      </c>
      <c r="G13" s="16" t="s">
        <v>1507</v>
      </c>
      <c r="H13" s="59" t="s">
        <v>377</v>
      </c>
      <c r="I13" s="68">
        <v>10054269000438</v>
      </c>
      <c r="J13" s="68">
        <v>20054269000435</v>
      </c>
      <c r="K13" s="57" t="s">
        <v>289</v>
      </c>
      <c r="L13" s="29" t="s">
        <v>325</v>
      </c>
      <c r="M13" s="8">
        <v>12.99</v>
      </c>
      <c r="N13" s="37">
        <v>6</v>
      </c>
      <c r="O13" s="228">
        <v>48</v>
      </c>
      <c r="P13" s="35">
        <f>2/16</f>
        <v>0.125</v>
      </c>
      <c r="Q13" s="35">
        <v>1.625</v>
      </c>
      <c r="R13" s="35">
        <v>1.5</v>
      </c>
      <c r="S13" s="72">
        <v>3.75</v>
      </c>
      <c r="T13" s="35">
        <f>2.5/16</f>
        <v>0.15625</v>
      </c>
      <c r="U13" s="35">
        <v>4.5</v>
      </c>
      <c r="V13" s="177">
        <v>1.5</v>
      </c>
      <c r="W13" s="177">
        <v>6.625</v>
      </c>
      <c r="X13" s="134">
        <v>1.25</v>
      </c>
      <c r="Y13" s="135">
        <v>10</v>
      </c>
      <c r="Z13" s="135">
        <v>7</v>
      </c>
      <c r="AA13" s="135">
        <v>5</v>
      </c>
      <c r="AB13" s="46">
        <f>CONVERT(5630,"g","lbm")</f>
        <v>12.412025361008608</v>
      </c>
      <c r="AC13" s="35">
        <f>CONVERT(0.52,"m","in")</f>
        <v>20.472440944881889</v>
      </c>
      <c r="AD13" s="35">
        <f>CONVERT(0.266,"m","in")</f>
        <v>10.472440944881889</v>
      </c>
      <c r="AE13" s="72">
        <f>CONVERT(0.39,"m","in")</f>
        <v>15.354330708661417</v>
      </c>
      <c r="AF13" s="17">
        <f t="shared" si="1"/>
        <v>1.9050426333573574</v>
      </c>
      <c r="AG13" s="22" t="s">
        <v>379</v>
      </c>
      <c r="AH13" s="22" t="s">
        <v>380</v>
      </c>
      <c r="AI13" s="22" t="s">
        <v>381</v>
      </c>
      <c r="AJ13" s="22" t="s">
        <v>382</v>
      </c>
      <c r="AK13" s="22" t="s">
        <v>383</v>
      </c>
      <c r="AL13" s="22" t="s">
        <v>384</v>
      </c>
      <c r="AM13" s="22" t="s">
        <v>385</v>
      </c>
      <c r="AN13" s="22" t="s">
        <v>114</v>
      </c>
    </row>
    <row r="14" spans="1:280" s="16" customFormat="1" x14ac:dyDescent="0.25">
      <c r="A14" s="16" t="s">
        <v>181</v>
      </c>
      <c r="B14" s="141"/>
      <c r="C14" s="18" t="s">
        <v>609</v>
      </c>
      <c r="E14" s="36" t="s">
        <v>1663</v>
      </c>
      <c r="F14" s="16" t="s">
        <v>111</v>
      </c>
      <c r="G14" s="16" t="s">
        <v>1485</v>
      </c>
      <c r="H14" s="29" t="s">
        <v>658</v>
      </c>
      <c r="I14" s="354"/>
      <c r="J14" s="354"/>
      <c r="K14" s="57" t="s">
        <v>289</v>
      </c>
      <c r="L14" s="33" t="s">
        <v>325</v>
      </c>
      <c r="M14" s="6">
        <v>12.99</v>
      </c>
      <c r="N14" s="37">
        <v>1</v>
      </c>
      <c r="O14" s="228">
        <v>100</v>
      </c>
      <c r="P14" s="35">
        <f t="shared" ref="P14:P15" si="2">2/16</f>
        <v>0.125</v>
      </c>
      <c r="Q14" s="35">
        <v>1.625</v>
      </c>
      <c r="R14" s="35">
        <v>1.25</v>
      </c>
      <c r="S14" s="72">
        <v>3.3125</v>
      </c>
      <c r="T14" s="35">
        <v>0.12566348944538022</v>
      </c>
      <c r="U14" s="35">
        <v>1.625</v>
      </c>
      <c r="V14" s="35">
        <v>1.25</v>
      </c>
      <c r="W14" s="72">
        <v>3.3125</v>
      </c>
      <c r="X14" s="134"/>
      <c r="Y14" s="135"/>
      <c r="Z14" s="135"/>
      <c r="AA14" s="135"/>
      <c r="AB14" s="46">
        <f>CONVERT(6050,"g","lbm")</f>
        <v>13.337966862185093</v>
      </c>
      <c r="AC14" s="35">
        <f>CONVERT(0.488,"m","in")</f>
        <v>19.212598425196852</v>
      </c>
      <c r="AD14" s="35">
        <f>CONVERT(0.278,"m","in")</f>
        <v>10.944881889763781</v>
      </c>
      <c r="AE14" s="72">
        <f>CONVERT(0.175,"m","in")</f>
        <v>6.8897637795275593</v>
      </c>
      <c r="AF14" s="17">
        <f t="shared" si="1"/>
        <v>0.83841256556820509</v>
      </c>
      <c r="AG14" s="26" t="s">
        <v>614</v>
      </c>
      <c r="AH14" s="26" t="s">
        <v>611</v>
      </c>
      <c r="AI14" s="21" t="s">
        <v>381</v>
      </c>
      <c r="AJ14" s="21"/>
      <c r="AK14" s="21"/>
      <c r="AL14" s="39" t="s">
        <v>41</v>
      </c>
      <c r="AM14" s="22" t="s">
        <v>385</v>
      </c>
      <c r="AN14" s="20"/>
    </row>
    <row r="15" spans="1:280" s="16" customFormat="1" x14ac:dyDescent="0.25">
      <c r="A15" s="20" t="s">
        <v>181</v>
      </c>
      <c r="B15" s="141"/>
      <c r="C15" s="21" t="s">
        <v>39</v>
      </c>
      <c r="D15" s="20"/>
      <c r="E15" s="26" t="s">
        <v>1665</v>
      </c>
      <c r="F15" s="20" t="s">
        <v>111</v>
      </c>
      <c r="G15" s="16" t="s">
        <v>1507</v>
      </c>
      <c r="H15" s="30" t="s">
        <v>40</v>
      </c>
      <c r="I15" s="49">
        <v>10016869030208</v>
      </c>
      <c r="J15" s="49">
        <v>20016869030205</v>
      </c>
      <c r="K15" s="57" t="s">
        <v>289</v>
      </c>
      <c r="L15" s="57" t="s">
        <v>325</v>
      </c>
      <c r="M15" s="7">
        <v>12.99</v>
      </c>
      <c r="N15" s="37">
        <v>6</v>
      </c>
      <c r="O15" s="228">
        <v>48</v>
      </c>
      <c r="P15" s="35">
        <f t="shared" si="2"/>
        <v>0.125</v>
      </c>
      <c r="Q15" s="35">
        <v>1.625</v>
      </c>
      <c r="R15" s="35">
        <v>1.25</v>
      </c>
      <c r="S15" s="72">
        <v>3.3125</v>
      </c>
      <c r="T15" s="35">
        <f>2.3/16</f>
        <v>0.14374999999999999</v>
      </c>
      <c r="U15" s="35">
        <v>4.5</v>
      </c>
      <c r="V15" s="177">
        <v>1.5</v>
      </c>
      <c r="W15" s="177">
        <v>6.625</v>
      </c>
      <c r="X15" s="134">
        <v>1.1499999999999999</v>
      </c>
      <c r="Y15" s="135">
        <v>10</v>
      </c>
      <c r="Z15" s="135">
        <v>7</v>
      </c>
      <c r="AA15" s="135">
        <v>5</v>
      </c>
      <c r="AB15" s="46">
        <f>CONVERT(5630,"g","lbm")</f>
        <v>12.412025361008608</v>
      </c>
      <c r="AC15" s="35">
        <f>CONVERT(0.52,"m","in")</f>
        <v>20.472440944881889</v>
      </c>
      <c r="AD15" s="35">
        <f>CONVERT(0.266,"m","in")</f>
        <v>10.472440944881889</v>
      </c>
      <c r="AE15" s="72">
        <f>CONVERT(0.39,"m","in")</f>
        <v>15.354330708661417</v>
      </c>
      <c r="AF15" s="35">
        <f t="shared" si="1"/>
        <v>1.9050426333573574</v>
      </c>
      <c r="AG15" s="26" t="s">
        <v>614</v>
      </c>
      <c r="AH15" s="26" t="s">
        <v>611</v>
      </c>
      <c r="AI15" s="21" t="s">
        <v>381</v>
      </c>
      <c r="AJ15" s="21"/>
      <c r="AK15" s="21"/>
      <c r="AL15" s="39" t="s">
        <v>41</v>
      </c>
      <c r="AM15" s="39"/>
      <c r="AN15" s="20"/>
    </row>
    <row r="16" spans="1:280" s="16" customFormat="1" ht="13.8" x14ac:dyDescent="0.3">
      <c r="A16" s="16" t="s">
        <v>181</v>
      </c>
      <c r="B16" s="141"/>
      <c r="C16" s="21" t="s">
        <v>140</v>
      </c>
      <c r="E16" s="21" t="s">
        <v>1655</v>
      </c>
      <c r="F16" s="16" t="s">
        <v>111</v>
      </c>
      <c r="G16" s="16" t="s">
        <v>1507</v>
      </c>
      <c r="H16" s="31" t="s">
        <v>85</v>
      </c>
      <c r="I16" s="269"/>
      <c r="J16" s="49">
        <v>20016869010207</v>
      </c>
      <c r="K16" s="57" t="s">
        <v>289</v>
      </c>
      <c r="L16" s="57" t="s">
        <v>326</v>
      </c>
      <c r="M16" s="6">
        <v>14.99</v>
      </c>
      <c r="N16" s="37">
        <v>1</v>
      </c>
      <c r="O16" s="228">
        <v>100</v>
      </c>
      <c r="P16" s="35">
        <f>2/16</f>
        <v>0.125</v>
      </c>
      <c r="Q16" s="35">
        <v>4</v>
      </c>
      <c r="R16" s="35">
        <v>1</v>
      </c>
      <c r="S16" s="72">
        <v>1.25</v>
      </c>
      <c r="T16" s="35">
        <f>2.7/16</f>
        <v>0.16875000000000001</v>
      </c>
      <c r="U16" s="35">
        <v>8</v>
      </c>
      <c r="V16" s="35">
        <v>1.5</v>
      </c>
      <c r="W16" s="35">
        <v>5.8125</v>
      </c>
      <c r="X16" s="134"/>
      <c r="Y16" s="135"/>
      <c r="Z16" s="135"/>
      <c r="AA16" s="135"/>
      <c r="AB16" s="134">
        <v>18.3</v>
      </c>
      <c r="AC16" s="135">
        <v>17.5</v>
      </c>
      <c r="AD16" s="135">
        <v>28.75</v>
      </c>
      <c r="AE16" s="136">
        <v>9.5</v>
      </c>
      <c r="AF16" s="17">
        <f t="shared" si="1"/>
        <v>2.7660228587962963</v>
      </c>
      <c r="AG16" s="24" t="s">
        <v>61</v>
      </c>
      <c r="AH16" s="24" t="s">
        <v>62</v>
      </c>
      <c r="AI16" s="24" t="s">
        <v>63</v>
      </c>
      <c r="AJ16" s="24" t="s">
        <v>64</v>
      </c>
      <c r="AK16" s="24" t="s">
        <v>184</v>
      </c>
      <c r="AL16" s="25" t="s">
        <v>0</v>
      </c>
      <c r="AM16" s="22" t="s">
        <v>385</v>
      </c>
      <c r="AN16" s="16" t="s">
        <v>114</v>
      </c>
    </row>
    <row r="17" spans="1:40" s="16" customFormat="1" x14ac:dyDescent="0.25">
      <c r="A17" s="16" t="s">
        <v>181</v>
      </c>
      <c r="B17" s="141"/>
      <c r="C17" s="18" t="s">
        <v>829</v>
      </c>
      <c r="D17" s="17"/>
      <c r="E17" s="36" t="s">
        <v>34</v>
      </c>
      <c r="F17" s="16" t="s">
        <v>111</v>
      </c>
      <c r="G17" s="16" t="s">
        <v>1624</v>
      </c>
      <c r="H17" s="31" t="s">
        <v>38</v>
      </c>
      <c r="I17" s="269"/>
      <c r="J17" s="355"/>
      <c r="K17" s="57" t="s">
        <v>289</v>
      </c>
      <c r="L17" s="57" t="s">
        <v>326</v>
      </c>
      <c r="M17" s="6">
        <v>14.99</v>
      </c>
      <c r="N17" s="37">
        <v>6</v>
      </c>
      <c r="O17" s="229"/>
      <c r="P17" s="35">
        <f>0.7/16</f>
        <v>4.3749999999999997E-2</v>
      </c>
      <c r="Q17" s="135"/>
      <c r="R17" s="135"/>
      <c r="S17" s="136"/>
      <c r="T17" s="135">
        <v>0.1</v>
      </c>
      <c r="U17" s="135">
        <v>5</v>
      </c>
      <c r="V17" s="135">
        <v>3</v>
      </c>
      <c r="W17" s="135">
        <v>1.25</v>
      </c>
      <c r="X17" s="134"/>
      <c r="Y17" s="135"/>
      <c r="Z17" s="135"/>
      <c r="AA17" s="135"/>
      <c r="AB17" s="262" t="s">
        <v>128</v>
      </c>
      <c r="AC17" s="135"/>
      <c r="AD17" s="135"/>
      <c r="AE17" s="136"/>
      <c r="AF17" s="17">
        <f t="shared" si="1"/>
        <v>0</v>
      </c>
      <c r="AG17" s="24" t="s">
        <v>43</v>
      </c>
      <c r="AH17" s="24" t="s">
        <v>44</v>
      </c>
      <c r="AI17" s="24" t="s">
        <v>45</v>
      </c>
      <c r="AJ17" s="22"/>
      <c r="AK17" s="22"/>
      <c r="AL17" s="41" t="s">
        <v>36</v>
      </c>
      <c r="AM17" s="22" t="s">
        <v>385</v>
      </c>
      <c r="AN17" s="16" t="s">
        <v>114</v>
      </c>
    </row>
    <row r="18" spans="1:40" s="16" customFormat="1" ht="13.8" x14ac:dyDescent="0.3">
      <c r="A18" s="16" t="s">
        <v>181</v>
      </c>
      <c r="B18" s="141"/>
      <c r="C18" s="21" t="s">
        <v>141</v>
      </c>
      <c r="E18" s="26" t="s">
        <v>1652</v>
      </c>
      <c r="F18" s="16" t="s">
        <v>111</v>
      </c>
      <c r="G18" s="16" t="s">
        <v>1507</v>
      </c>
      <c r="H18" s="33" t="s">
        <v>60</v>
      </c>
      <c r="I18" s="355"/>
      <c r="J18" s="9">
        <v>20016869020107</v>
      </c>
      <c r="K18" s="57" t="s">
        <v>289</v>
      </c>
      <c r="L18" s="57" t="s">
        <v>326</v>
      </c>
      <c r="M18" s="6">
        <v>24.99</v>
      </c>
      <c r="N18" s="37">
        <v>1</v>
      </c>
      <c r="O18" s="228">
        <v>48</v>
      </c>
      <c r="P18" s="35">
        <f>4.2/16</f>
        <v>0.26250000000000001</v>
      </c>
      <c r="Q18" s="35">
        <v>7</v>
      </c>
      <c r="R18" s="35">
        <v>2</v>
      </c>
      <c r="S18" s="72">
        <v>2</v>
      </c>
      <c r="T18" s="35">
        <f>5.4/16</f>
        <v>0.33750000000000002</v>
      </c>
      <c r="U18" s="135">
        <v>2.25</v>
      </c>
      <c r="V18" s="135">
        <v>8.6300000000000008</v>
      </c>
      <c r="W18" s="135">
        <v>7.5</v>
      </c>
      <c r="X18" s="134"/>
      <c r="Y18" s="135"/>
      <c r="Z18" s="135"/>
      <c r="AA18" s="135"/>
      <c r="AB18" s="134"/>
      <c r="AC18" s="135">
        <v>16.25</v>
      </c>
      <c r="AD18" s="135">
        <v>31</v>
      </c>
      <c r="AE18" s="136">
        <v>9.5</v>
      </c>
      <c r="AF18" s="17">
        <f t="shared" si="1"/>
        <v>2.7694589120370372</v>
      </c>
      <c r="AG18" s="27" t="s">
        <v>61</v>
      </c>
      <c r="AH18" s="24" t="s">
        <v>62</v>
      </c>
      <c r="AI18" s="24" t="s">
        <v>63</v>
      </c>
      <c r="AJ18" s="24" t="s">
        <v>183</v>
      </c>
      <c r="AK18" s="24" t="s">
        <v>184</v>
      </c>
      <c r="AL18" s="25" t="s">
        <v>185</v>
      </c>
      <c r="AM18" s="22" t="s">
        <v>385</v>
      </c>
      <c r="AN18" s="16" t="s">
        <v>114</v>
      </c>
    </row>
    <row r="19" spans="1:40" s="16" customFormat="1" x14ac:dyDescent="0.25">
      <c r="A19" s="16" t="s">
        <v>181</v>
      </c>
      <c r="B19" s="141"/>
      <c r="C19" s="18" t="s">
        <v>830</v>
      </c>
      <c r="D19" s="17"/>
      <c r="E19" s="36" t="s">
        <v>35</v>
      </c>
      <c r="F19" s="16" t="s">
        <v>111</v>
      </c>
      <c r="G19" s="16" t="s">
        <v>1624</v>
      </c>
      <c r="H19" s="29" t="s">
        <v>192</v>
      </c>
      <c r="I19" s="354"/>
      <c r="J19" s="354"/>
      <c r="K19" s="57" t="s">
        <v>289</v>
      </c>
      <c r="L19" s="57" t="s">
        <v>326</v>
      </c>
      <c r="M19" s="6">
        <v>14.99</v>
      </c>
      <c r="N19" s="37">
        <v>6</v>
      </c>
      <c r="O19" s="229"/>
      <c r="P19" s="35">
        <f>0.7/16</f>
        <v>4.3749999999999997E-2</v>
      </c>
      <c r="Q19" s="135"/>
      <c r="R19" s="135"/>
      <c r="S19" s="136"/>
      <c r="T19" s="135">
        <v>0.1</v>
      </c>
      <c r="U19" s="135">
        <v>5</v>
      </c>
      <c r="V19" s="135">
        <v>3</v>
      </c>
      <c r="W19" s="135">
        <v>1.25</v>
      </c>
      <c r="X19" s="134"/>
      <c r="Y19" s="135"/>
      <c r="Z19" s="135"/>
      <c r="AA19" s="135"/>
      <c r="AB19" s="134"/>
      <c r="AC19" s="135"/>
      <c r="AD19" s="135"/>
      <c r="AE19" s="136"/>
      <c r="AF19" s="17">
        <f t="shared" si="1"/>
        <v>0</v>
      </c>
      <c r="AG19" s="24" t="s">
        <v>104</v>
      </c>
      <c r="AH19" s="24" t="s">
        <v>44</v>
      </c>
      <c r="AI19" s="24" t="s">
        <v>45</v>
      </c>
      <c r="AJ19" s="22"/>
      <c r="AK19" s="22"/>
      <c r="AL19" s="41" t="s">
        <v>105</v>
      </c>
      <c r="AM19" s="22" t="s">
        <v>385</v>
      </c>
      <c r="AN19" s="16" t="s">
        <v>114</v>
      </c>
    </row>
    <row r="20" spans="1:40" s="16" customFormat="1" ht="13.8" x14ac:dyDescent="0.3">
      <c r="A20" s="16" t="s">
        <v>181</v>
      </c>
      <c r="B20" s="141"/>
      <c r="C20" s="18" t="s">
        <v>432</v>
      </c>
      <c r="E20" s="36" t="s">
        <v>1653</v>
      </c>
      <c r="F20" s="16" t="s">
        <v>390</v>
      </c>
      <c r="G20" s="16" t="s">
        <v>1507</v>
      </c>
      <c r="H20" s="66" t="s">
        <v>391</v>
      </c>
      <c r="I20" s="356">
        <v>10054269000933</v>
      </c>
      <c r="J20" s="356">
        <v>20054269000930</v>
      </c>
      <c r="K20" s="57" t="s">
        <v>289</v>
      </c>
      <c r="L20" s="29" t="s">
        <v>325</v>
      </c>
      <c r="M20" s="8">
        <v>14.99</v>
      </c>
      <c r="N20" s="37">
        <v>6</v>
      </c>
      <c r="O20" s="228">
        <v>24</v>
      </c>
      <c r="P20" s="35">
        <f>2/16</f>
        <v>0.125</v>
      </c>
      <c r="Q20" s="35">
        <v>6</v>
      </c>
      <c r="R20" s="35">
        <v>1.5</v>
      </c>
      <c r="S20" s="72">
        <v>1.5</v>
      </c>
      <c r="T20" s="35">
        <f>2.9/16</f>
        <v>0.18124999999999999</v>
      </c>
      <c r="U20" s="177">
        <v>8.5625</v>
      </c>
      <c r="V20" s="177">
        <v>1.25</v>
      </c>
      <c r="W20" s="177">
        <v>6.125</v>
      </c>
      <c r="X20" s="46">
        <f>CONVERT(650,"g","lbm")</f>
        <v>1.4330047042017042</v>
      </c>
      <c r="Y20" s="35">
        <f>CONVERT(0.23,"m","in")</f>
        <v>9.0551181102362204</v>
      </c>
      <c r="Z20" s="35">
        <f>CONVERT(0.16,"m","in")</f>
        <v>6.2992125984251972</v>
      </c>
      <c r="AA20" s="35">
        <f>CONVERT(0.12,"m","in")</f>
        <v>4.7244094488188972</v>
      </c>
      <c r="AB20" s="46">
        <f>CONVERT(4000,"g","lbm")</f>
        <v>8.8184904873951027</v>
      </c>
      <c r="AC20" s="35">
        <f>CONVERT(0.34,"m","in")</f>
        <v>13.385826771653544</v>
      </c>
      <c r="AD20" s="35">
        <f>CONVERT(0.26,"m","in")</f>
        <v>10.236220472440944</v>
      </c>
      <c r="AE20" s="72">
        <f>CONVERT(0.25,"m","in")</f>
        <v>9.8425196850393704</v>
      </c>
      <c r="AF20" s="17">
        <f t="shared" si="1"/>
        <v>0.78045413454489798</v>
      </c>
      <c r="AG20" s="22" t="s">
        <v>407</v>
      </c>
      <c r="AH20" s="22" t="s">
        <v>411</v>
      </c>
      <c r="AI20" s="22" t="s">
        <v>408</v>
      </c>
      <c r="AJ20" s="22" t="s">
        <v>410</v>
      </c>
      <c r="AK20" s="22" t="s">
        <v>409</v>
      </c>
      <c r="AL20" s="22" t="s">
        <v>642</v>
      </c>
      <c r="AM20" s="22" t="s">
        <v>385</v>
      </c>
      <c r="AN20" s="22" t="s">
        <v>114</v>
      </c>
    </row>
    <row r="21" spans="1:40" s="16" customFormat="1" ht="13.8" x14ac:dyDescent="0.3">
      <c r="A21" s="16" t="s">
        <v>181</v>
      </c>
      <c r="B21" s="141"/>
      <c r="C21" s="18" t="s">
        <v>1650</v>
      </c>
      <c r="E21" s="36" t="s">
        <v>1651</v>
      </c>
      <c r="F21" s="16" t="s">
        <v>111</v>
      </c>
      <c r="G21" s="16" t="s">
        <v>1507</v>
      </c>
      <c r="H21" s="31" t="s">
        <v>1672</v>
      </c>
      <c r="I21" s="356">
        <v>10054269001565</v>
      </c>
      <c r="J21" s="356">
        <v>20054269001562</v>
      </c>
      <c r="K21" s="57" t="s">
        <v>289</v>
      </c>
      <c r="L21" s="29" t="s">
        <v>325</v>
      </c>
      <c r="M21" s="8">
        <v>24.99</v>
      </c>
      <c r="N21" s="37">
        <v>6</v>
      </c>
      <c r="O21" s="228">
        <v>24</v>
      </c>
      <c r="P21" s="35">
        <f>3.2/16</f>
        <v>0.2</v>
      </c>
      <c r="Q21" s="35">
        <v>7.25</v>
      </c>
      <c r="R21" s="35">
        <v>2</v>
      </c>
      <c r="S21" s="72">
        <v>2.25</v>
      </c>
      <c r="T21" s="35">
        <f>CONVERT(140,"g","lbm")</f>
        <v>0.30864716705882861</v>
      </c>
      <c r="U21" s="177">
        <v>9.375</v>
      </c>
      <c r="V21" s="177">
        <v>2</v>
      </c>
      <c r="W21" s="177">
        <v>6.5</v>
      </c>
      <c r="X21" s="134"/>
      <c r="Y21" s="135"/>
      <c r="Z21" s="135"/>
      <c r="AA21" s="135"/>
      <c r="AB21" s="134"/>
      <c r="AC21" s="135"/>
      <c r="AD21" s="135"/>
      <c r="AE21" s="136"/>
      <c r="AF21" s="17">
        <f t="shared" si="1"/>
        <v>0</v>
      </c>
      <c r="AG21" s="22"/>
      <c r="AH21" s="22"/>
      <c r="AI21" s="22"/>
      <c r="AJ21" s="22"/>
      <c r="AK21" s="22"/>
      <c r="AL21" s="22"/>
      <c r="AM21" s="22"/>
      <c r="AN21" s="22"/>
    </row>
    <row r="22" spans="1:40" s="16" customFormat="1" ht="13.8" x14ac:dyDescent="0.3">
      <c r="A22" s="16" t="s">
        <v>181</v>
      </c>
      <c r="B22" s="141"/>
      <c r="C22" s="21" t="s">
        <v>662</v>
      </c>
      <c r="D22" s="21" t="s">
        <v>88</v>
      </c>
      <c r="E22" s="21" t="s">
        <v>1654</v>
      </c>
      <c r="F22" s="16" t="s">
        <v>49</v>
      </c>
      <c r="G22" s="16" t="s">
        <v>1507</v>
      </c>
      <c r="H22" s="31" t="s">
        <v>59</v>
      </c>
      <c r="I22" s="269"/>
      <c r="J22" s="269"/>
      <c r="K22" s="57" t="s">
        <v>289</v>
      </c>
      <c r="L22" s="57" t="s">
        <v>326</v>
      </c>
      <c r="M22" s="6">
        <v>14.99</v>
      </c>
      <c r="N22" s="37">
        <v>1</v>
      </c>
      <c r="O22" s="228">
        <v>50</v>
      </c>
      <c r="P22" s="35">
        <f>2/16</f>
        <v>0.125</v>
      </c>
      <c r="Q22" s="35">
        <v>4</v>
      </c>
      <c r="R22" s="35">
        <v>1</v>
      </c>
      <c r="S22" s="72">
        <v>1.25</v>
      </c>
      <c r="T22" s="35">
        <f>2.7/16</f>
        <v>0.16875000000000001</v>
      </c>
      <c r="U22" s="35">
        <v>8</v>
      </c>
      <c r="V22" s="35">
        <v>1.5</v>
      </c>
      <c r="W22" s="35">
        <v>5.8125</v>
      </c>
      <c r="X22" s="134"/>
      <c r="Y22" s="135"/>
      <c r="Z22" s="135"/>
      <c r="AA22" s="135"/>
      <c r="AB22" s="134"/>
      <c r="AC22" s="135">
        <v>12</v>
      </c>
      <c r="AD22" s="135">
        <v>18</v>
      </c>
      <c r="AE22" s="136">
        <v>9.5</v>
      </c>
      <c r="AF22" s="17">
        <f t="shared" si="1"/>
        <v>1.1875</v>
      </c>
      <c r="AG22" s="24" t="s">
        <v>61</v>
      </c>
      <c r="AH22" s="24" t="s">
        <v>62</v>
      </c>
      <c r="AI22" s="24" t="s">
        <v>63</v>
      </c>
      <c r="AJ22" s="24" t="s">
        <v>64</v>
      </c>
      <c r="AK22" s="24" t="s">
        <v>65</v>
      </c>
      <c r="AL22" s="25" t="s">
        <v>106</v>
      </c>
      <c r="AM22" s="22" t="s">
        <v>385</v>
      </c>
      <c r="AN22" s="16" t="s">
        <v>114</v>
      </c>
    </row>
    <row r="23" spans="1:40" x14ac:dyDescent="0.25">
      <c r="B23" s="141"/>
      <c r="P23" s="35"/>
      <c r="Q23" s="35"/>
      <c r="R23" s="35"/>
      <c r="S23" s="72"/>
    </row>
    <row r="24" spans="1:40" x14ac:dyDescent="0.25">
      <c r="B24" s="141"/>
      <c r="P24" s="35"/>
      <c r="Q24" s="35"/>
      <c r="R24" s="35"/>
      <c r="S24" s="72"/>
    </row>
    <row r="25" spans="1:40" x14ac:dyDescent="0.25">
      <c r="B25" s="141"/>
      <c r="P25" s="35"/>
      <c r="Q25" s="35"/>
      <c r="R25" s="35"/>
      <c r="S25" s="72"/>
    </row>
    <row r="26" spans="1:40" x14ac:dyDescent="0.25">
      <c r="B26" s="366"/>
      <c r="P26" s="35"/>
      <c r="Q26" s="35"/>
      <c r="R26" s="35"/>
      <c r="S26" s="72"/>
    </row>
    <row r="27" spans="1:40" x14ac:dyDescent="0.25">
      <c r="B27" s="366"/>
      <c r="P27" s="35"/>
      <c r="Q27" s="35"/>
      <c r="R27" s="35"/>
      <c r="S27" s="72"/>
    </row>
    <row r="28" spans="1:40" ht="15" x14ac:dyDescent="0.25">
      <c r="B28" s="366"/>
      <c r="P28" s="321"/>
      <c r="Q28" s="321"/>
      <c r="R28" s="321"/>
      <c r="S28" s="322"/>
    </row>
    <row r="29" spans="1:40" x14ac:dyDescent="0.25">
      <c r="B29" s="141"/>
      <c r="P29" s="35"/>
      <c r="Q29" s="35"/>
      <c r="R29" s="35"/>
      <c r="S29" s="72"/>
    </row>
    <row r="30" spans="1:40" x14ac:dyDescent="0.25">
      <c r="B30" s="141"/>
      <c r="P30" s="35"/>
      <c r="Q30" s="35"/>
      <c r="R30" s="35"/>
      <c r="S30" s="72"/>
    </row>
    <row r="31" spans="1:40" x14ac:dyDescent="0.25">
      <c r="B31" s="141"/>
      <c r="P31" s="35"/>
      <c r="Q31" s="35"/>
      <c r="R31" s="35"/>
      <c r="S31" s="72"/>
    </row>
    <row r="32" spans="1:40" x14ac:dyDescent="0.25">
      <c r="B32" s="141"/>
      <c r="P32" s="35"/>
      <c r="Q32" s="35"/>
      <c r="R32" s="35"/>
      <c r="S32" s="72"/>
    </row>
    <row r="33" spans="2:19" x14ac:dyDescent="0.25">
      <c r="B33" s="141"/>
      <c r="P33" s="35"/>
      <c r="Q33" s="35"/>
      <c r="R33" s="35"/>
      <c r="S33" s="72"/>
    </row>
    <row r="34" spans="2:19" ht="15" x14ac:dyDescent="0.25">
      <c r="B34" s="141"/>
      <c r="P34" s="321"/>
      <c r="Q34" s="321"/>
      <c r="R34" s="321"/>
      <c r="S34" s="322"/>
    </row>
    <row r="35" spans="2:19" x14ac:dyDescent="0.25">
      <c r="B35" s="141"/>
      <c r="P35" s="35"/>
      <c r="Q35" s="35"/>
      <c r="R35" s="35"/>
      <c r="S35" s="72"/>
    </row>
    <row r="36" spans="2:19" x14ac:dyDescent="0.25">
      <c r="B36" s="141"/>
      <c r="P36" s="35"/>
      <c r="Q36" s="35"/>
      <c r="R36" s="35"/>
      <c r="S36" s="72"/>
    </row>
    <row r="37" spans="2:19" x14ac:dyDescent="0.25">
      <c r="B37" s="366"/>
      <c r="P37" s="35"/>
      <c r="Q37" s="35"/>
      <c r="R37" s="35"/>
      <c r="S37" s="72"/>
    </row>
    <row r="38" spans="2:19" x14ac:dyDescent="0.25">
      <c r="B38" s="486"/>
      <c r="P38" s="35"/>
      <c r="Q38" s="35"/>
      <c r="R38" s="35"/>
      <c r="S38" s="72"/>
    </row>
    <row r="39" spans="2:19" x14ac:dyDescent="0.25">
      <c r="B39" s="486"/>
      <c r="P39" s="35"/>
      <c r="Q39" s="35"/>
      <c r="R39" s="35"/>
      <c r="S39" s="72"/>
    </row>
    <row r="40" spans="2:19" x14ac:dyDescent="0.25">
      <c r="B40" s="486"/>
      <c r="P40" s="35"/>
      <c r="Q40" s="35"/>
      <c r="R40" s="35"/>
      <c r="S40" s="72"/>
    </row>
    <row r="41" spans="2:19" x14ac:dyDescent="0.25">
      <c r="B41" s="486"/>
      <c r="P41" s="35"/>
      <c r="Q41" s="35"/>
      <c r="R41" s="35"/>
      <c r="S41" s="72"/>
    </row>
    <row r="42" spans="2:19" x14ac:dyDescent="0.25">
      <c r="B42" s="486"/>
      <c r="P42" s="35"/>
      <c r="Q42" s="35"/>
      <c r="R42" s="35"/>
      <c r="S42" s="72"/>
    </row>
    <row r="43" spans="2:19" x14ac:dyDescent="0.25">
      <c r="P43" s="35"/>
      <c r="Q43" s="35"/>
      <c r="R43" s="35"/>
      <c r="S43" s="72"/>
    </row>
    <row r="44" spans="2:19" x14ac:dyDescent="0.25">
      <c r="P44" s="35"/>
      <c r="Q44" s="35"/>
      <c r="R44" s="35"/>
      <c r="S44" s="72"/>
    </row>
    <row r="45" spans="2:19" x14ac:dyDescent="0.25">
      <c r="P45" s="35"/>
      <c r="Q45" s="35"/>
      <c r="R45" s="35"/>
      <c r="S45" s="72"/>
    </row>
    <row r="46" spans="2:19" x14ac:dyDescent="0.25">
      <c r="P46" s="35"/>
      <c r="Q46" s="35"/>
      <c r="R46" s="35"/>
      <c r="S46" s="72"/>
    </row>
    <row r="47" spans="2:19" x14ac:dyDescent="0.25">
      <c r="P47" s="35"/>
      <c r="Q47" s="35"/>
      <c r="R47" s="35"/>
      <c r="S47" s="72"/>
    </row>
    <row r="48" spans="2:19" x14ac:dyDescent="0.25">
      <c r="P48" s="35"/>
      <c r="Q48" s="35"/>
      <c r="R48" s="35"/>
      <c r="S48" s="72"/>
    </row>
    <row r="49" spans="16:19" x14ac:dyDescent="0.25">
      <c r="P49" s="35"/>
      <c r="Q49" s="35"/>
      <c r="R49" s="35"/>
      <c r="S49" s="72"/>
    </row>
    <row r="50" spans="16:19" x14ac:dyDescent="0.25">
      <c r="P50" s="35"/>
      <c r="Q50" s="35"/>
      <c r="R50" s="35"/>
      <c r="S50" s="72"/>
    </row>
    <row r="51" spans="16:19" x14ac:dyDescent="0.25">
      <c r="P51" s="35"/>
      <c r="Q51" s="35"/>
      <c r="R51" s="35"/>
      <c r="S51" s="72"/>
    </row>
    <row r="52" spans="16:19" x14ac:dyDescent="0.25">
      <c r="P52" s="35"/>
      <c r="Q52" s="35"/>
      <c r="R52" s="35"/>
      <c r="S52" s="72"/>
    </row>
    <row r="53" spans="16:19" x14ac:dyDescent="0.25">
      <c r="P53" s="35"/>
      <c r="Q53" s="35"/>
      <c r="R53" s="35"/>
      <c r="S53" s="72"/>
    </row>
    <row r="54" spans="16:19" x14ac:dyDescent="0.25">
      <c r="P54" s="35"/>
      <c r="Q54" s="35"/>
      <c r="R54" s="35"/>
      <c r="S54" s="72"/>
    </row>
    <row r="55" spans="16:19" x14ac:dyDescent="0.25">
      <c r="P55" s="35"/>
      <c r="Q55" s="35"/>
      <c r="R55" s="35"/>
      <c r="S55" s="72"/>
    </row>
    <row r="56" spans="16:19" ht="15" x14ac:dyDescent="0.25">
      <c r="P56" s="321"/>
      <c r="Q56" s="321"/>
      <c r="R56" s="321"/>
      <c r="S56" s="322"/>
    </row>
    <row r="57" spans="16:19" x14ac:dyDescent="0.25">
      <c r="P57" s="35"/>
      <c r="Q57" s="35"/>
      <c r="R57" s="35"/>
      <c r="S57" s="72"/>
    </row>
    <row r="58" spans="16:19" x14ac:dyDescent="0.25">
      <c r="P58" s="35"/>
      <c r="Q58" s="35"/>
      <c r="R58" s="35"/>
      <c r="S58" s="72"/>
    </row>
    <row r="59" spans="16:19" x14ac:dyDescent="0.25">
      <c r="P59" s="35"/>
      <c r="Q59" s="35"/>
      <c r="R59" s="35"/>
      <c r="S59" s="72"/>
    </row>
    <row r="60" spans="16:19" x14ac:dyDescent="0.25">
      <c r="P60" s="35"/>
      <c r="Q60" s="35"/>
      <c r="R60" s="35"/>
      <c r="S60" s="72"/>
    </row>
    <row r="61" spans="16:19" x14ac:dyDescent="0.25">
      <c r="P61" s="35"/>
      <c r="Q61" s="35"/>
      <c r="R61" s="35"/>
      <c r="S61" s="72"/>
    </row>
    <row r="62" spans="16:19" x14ac:dyDescent="0.25">
      <c r="P62" s="35"/>
      <c r="Q62" s="35"/>
      <c r="R62" s="35"/>
      <c r="S62" s="72"/>
    </row>
    <row r="63" spans="16:19" x14ac:dyDescent="0.25">
      <c r="P63" s="35"/>
      <c r="Q63" s="35"/>
      <c r="R63" s="35"/>
      <c r="S63" s="72"/>
    </row>
    <row r="64" spans="16:19" x14ac:dyDescent="0.25">
      <c r="P64" s="35"/>
      <c r="Q64" s="35"/>
      <c r="R64" s="35"/>
      <c r="S64" s="72"/>
    </row>
    <row r="65" spans="16:19" x14ac:dyDescent="0.25">
      <c r="P65" s="35"/>
      <c r="Q65" s="35"/>
      <c r="R65" s="35"/>
      <c r="S65" s="72"/>
    </row>
    <row r="66" spans="16:19" x14ac:dyDescent="0.25">
      <c r="P66" s="35"/>
      <c r="Q66" s="35"/>
      <c r="R66" s="35"/>
      <c r="S66" s="72"/>
    </row>
    <row r="67" spans="16:19" x14ac:dyDescent="0.25">
      <c r="P67" s="35"/>
      <c r="Q67" s="35"/>
      <c r="R67" s="35"/>
      <c r="S67" s="72"/>
    </row>
    <row r="68" spans="16:19" x14ac:dyDescent="0.25">
      <c r="P68" s="35"/>
      <c r="Q68" s="35"/>
      <c r="R68" s="35"/>
      <c r="S68" s="72"/>
    </row>
    <row r="69" spans="16:19" x14ac:dyDescent="0.25">
      <c r="P69" s="35"/>
      <c r="Q69" s="35"/>
      <c r="R69" s="35"/>
      <c r="S69" s="72"/>
    </row>
    <row r="70" spans="16:19" x14ac:dyDescent="0.25">
      <c r="P70" s="35"/>
      <c r="Q70" s="35"/>
      <c r="R70" s="35"/>
      <c r="S70" s="72"/>
    </row>
    <row r="71" spans="16:19" x14ac:dyDescent="0.25">
      <c r="P71" s="35"/>
      <c r="Q71" s="35"/>
      <c r="R71" s="35"/>
      <c r="S71" s="72"/>
    </row>
    <row r="72" spans="16:19" ht="15" x14ac:dyDescent="0.25">
      <c r="P72" s="321"/>
      <c r="Q72" s="321"/>
      <c r="R72" s="321"/>
      <c r="S72" s="322"/>
    </row>
    <row r="73" spans="16:19" x14ac:dyDescent="0.25">
      <c r="P73" s="35"/>
      <c r="Q73" s="35"/>
      <c r="R73" s="35"/>
      <c r="S73" s="72"/>
    </row>
    <row r="74" spans="16:19" x14ac:dyDescent="0.25">
      <c r="P74" s="35"/>
      <c r="Q74" s="35"/>
      <c r="R74" s="35"/>
      <c r="S74" s="72"/>
    </row>
    <row r="75" spans="16:19" x14ac:dyDescent="0.25">
      <c r="P75" s="35"/>
      <c r="Q75" s="35"/>
      <c r="R75" s="35"/>
      <c r="S75" s="72"/>
    </row>
    <row r="76" spans="16:19" x14ac:dyDescent="0.25">
      <c r="P76" s="35"/>
      <c r="Q76" s="35"/>
      <c r="R76" s="35"/>
      <c r="S76" s="72"/>
    </row>
    <row r="77" spans="16:19" x14ac:dyDescent="0.25">
      <c r="P77" s="35"/>
      <c r="Q77" s="35"/>
      <c r="R77" s="35"/>
      <c r="S77" s="72"/>
    </row>
    <row r="78" spans="16:19" x14ac:dyDescent="0.25">
      <c r="P78" s="35"/>
      <c r="Q78" s="35"/>
      <c r="R78" s="35"/>
      <c r="S78" s="72"/>
    </row>
    <row r="79" spans="16:19" x14ac:dyDescent="0.25">
      <c r="P79" s="35"/>
      <c r="Q79" s="35"/>
      <c r="R79" s="35"/>
      <c r="S79" s="72"/>
    </row>
    <row r="80" spans="16:19" x14ac:dyDescent="0.25">
      <c r="P80" s="35"/>
      <c r="Q80" s="35"/>
      <c r="R80" s="35"/>
      <c r="S80" s="72"/>
    </row>
    <row r="81" spans="16:19" x14ac:dyDescent="0.25">
      <c r="P81" s="35"/>
      <c r="Q81" s="35"/>
      <c r="R81" s="35"/>
      <c r="S81" s="72"/>
    </row>
    <row r="82" spans="16:19" x14ac:dyDescent="0.25">
      <c r="P82" s="35"/>
      <c r="Q82" s="35"/>
      <c r="R82" s="35"/>
      <c r="S82" s="72"/>
    </row>
    <row r="83" spans="16:19" x14ac:dyDescent="0.25">
      <c r="P83" s="35"/>
      <c r="Q83" s="35"/>
      <c r="R83" s="35"/>
      <c r="S83" s="72"/>
    </row>
    <row r="84" spans="16:19" x14ac:dyDescent="0.25">
      <c r="P84" s="35"/>
      <c r="Q84" s="35"/>
      <c r="R84" s="35"/>
      <c r="S84" s="72"/>
    </row>
    <row r="85" spans="16:19" x14ac:dyDescent="0.25">
      <c r="P85" s="35"/>
      <c r="Q85" s="35"/>
      <c r="R85" s="35"/>
      <c r="S85" s="72"/>
    </row>
    <row r="86" spans="16:19" x14ac:dyDescent="0.25">
      <c r="P86" s="35"/>
      <c r="Q86" s="35"/>
      <c r="R86" s="35"/>
      <c r="S86" s="72"/>
    </row>
    <row r="87" spans="16:19" x14ac:dyDescent="0.25">
      <c r="P87" s="35"/>
      <c r="Q87" s="35"/>
      <c r="R87" s="35"/>
      <c r="S87" s="72"/>
    </row>
    <row r="88" spans="16:19" x14ac:dyDescent="0.25">
      <c r="P88" s="35"/>
      <c r="Q88" s="35"/>
      <c r="R88" s="35"/>
      <c r="S88" s="72"/>
    </row>
    <row r="89" spans="16:19" ht="15" x14ac:dyDescent="0.25">
      <c r="P89" s="321"/>
      <c r="Q89" s="321"/>
      <c r="R89" s="321"/>
      <c r="S89" s="322"/>
    </row>
    <row r="90" spans="16:19" x14ac:dyDescent="0.25">
      <c r="P90" s="35"/>
      <c r="Q90" s="35"/>
      <c r="R90" s="35"/>
      <c r="S90" s="72"/>
    </row>
    <row r="91" spans="16:19" x14ac:dyDescent="0.25">
      <c r="P91" s="35"/>
      <c r="Q91" s="35"/>
      <c r="R91" s="35"/>
      <c r="S91" s="72"/>
    </row>
    <row r="92" spans="16:19" x14ac:dyDescent="0.25">
      <c r="P92" s="35"/>
      <c r="Q92" s="35"/>
      <c r="R92" s="35"/>
      <c r="S92" s="72"/>
    </row>
    <row r="93" spans="16:19" x14ac:dyDescent="0.25">
      <c r="P93" s="35"/>
      <c r="Q93" s="35"/>
      <c r="R93" s="35"/>
      <c r="S93" s="72"/>
    </row>
    <row r="94" spans="16:19" x14ac:dyDescent="0.25">
      <c r="P94" s="35"/>
      <c r="Q94" s="35"/>
      <c r="R94" s="35"/>
      <c r="S94" s="72"/>
    </row>
    <row r="95" spans="16:19" x14ac:dyDescent="0.25">
      <c r="P95" s="35"/>
      <c r="Q95" s="35"/>
      <c r="R95" s="35"/>
      <c r="S95" s="72"/>
    </row>
    <row r="96" spans="16:19" x14ac:dyDescent="0.25">
      <c r="P96" s="35"/>
      <c r="Q96" s="35"/>
      <c r="R96" s="35"/>
      <c r="S96" s="72"/>
    </row>
    <row r="97" spans="16:19" x14ac:dyDescent="0.25">
      <c r="P97" s="35"/>
      <c r="Q97" s="35"/>
      <c r="R97" s="35"/>
      <c r="S97" s="72"/>
    </row>
    <row r="98" spans="16:19" x14ac:dyDescent="0.25">
      <c r="P98" s="35"/>
      <c r="Q98" s="35"/>
      <c r="R98" s="35"/>
      <c r="S98" s="72"/>
    </row>
    <row r="99" spans="16:19" x14ac:dyDescent="0.25">
      <c r="P99" s="35"/>
      <c r="Q99" s="35"/>
      <c r="R99" s="35"/>
      <c r="S99" s="72"/>
    </row>
    <row r="100" spans="16:19" x14ac:dyDescent="0.25">
      <c r="P100" s="35"/>
      <c r="Q100" s="35"/>
      <c r="R100" s="35"/>
      <c r="S100" s="72"/>
    </row>
    <row r="101" spans="16:19" ht="15" x14ac:dyDescent="0.25">
      <c r="P101" s="321"/>
      <c r="Q101" s="321"/>
      <c r="R101" s="321"/>
      <c r="S101" s="322"/>
    </row>
    <row r="102" spans="16:19" x14ac:dyDescent="0.25">
      <c r="P102" s="35"/>
      <c r="Q102" s="35"/>
      <c r="R102" s="35"/>
      <c r="S102" s="72"/>
    </row>
    <row r="103" spans="16:19" x14ac:dyDescent="0.25">
      <c r="P103" s="35"/>
      <c r="Q103" s="35"/>
      <c r="R103" s="35"/>
      <c r="S103" s="72"/>
    </row>
    <row r="104" spans="16:19" x14ac:dyDescent="0.25">
      <c r="P104" s="35"/>
      <c r="Q104" s="35"/>
      <c r="R104" s="35"/>
      <c r="S104" s="72"/>
    </row>
    <row r="105" spans="16:19" x14ac:dyDescent="0.25">
      <c r="P105" s="35"/>
      <c r="Q105" s="35"/>
      <c r="R105" s="35"/>
      <c r="S105" s="72"/>
    </row>
    <row r="106" spans="16:19" x14ac:dyDescent="0.25">
      <c r="P106" s="35"/>
      <c r="Q106" s="35"/>
      <c r="R106" s="35"/>
      <c r="S106" s="72"/>
    </row>
    <row r="107" spans="16:19" x14ac:dyDescent="0.25">
      <c r="P107" s="35"/>
      <c r="Q107" s="35"/>
      <c r="R107" s="35"/>
      <c r="S107" s="72"/>
    </row>
    <row r="108" spans="16:19" x14ac:dyDescent="0.25">
      <c r="P108" s="35"/>
      <c r="Q108" s="35"/>
      <c r="R108" s="35"/>
      <c r="S108" s="72"/>
    </row>
    <row r="109" spans="16:19" x14ac:dyDescent="0.25">
      <c r="P109" s="35"/>
      <c r="Q109" s="35"/>
      <c r="R109" s="35"/>
      <c r="S109" s="72"/>
    </row>
    <row r="110" spans="16:19" x14ac:dyDescent="0.25">
      <c r="P110" s="35"/>
      <c r="Q110" s="35"/>
      <c r="R110" s="35"/>
      <c r="S110" s="72"/>
    </row>
    <row r="111" spans="16:19" x14ac:dyDescent="0.25">
      <c r="P111" s="35"/>
      <c r="Q111" s="35"/>
      <c r="R111" s="35"/>
      <c r="S111" s="72"/>
    </row>
    <row r="112" spans="16:19" x14ac:dyDescent="0.25">
      <c r="P112" s="35"/>
      <c r="Q112" s="35"/>
      <c r="R112" s="35"/>
      <c r="S112" s="72"/>
    </row>
    <row r="113" spans="16:19" x14ac:dyDescent="0.25">
      <c r="P113" s="35"/>
      <c r="Q113" s="35"/>
      <c r="R113" s="35"/>
      <c r="S113" s="72"/>
    </row>
    <row r="114" spans="16:19" x14ac:dyDescent="0.25">
      <c r="P114" s="35"/>
      <c r="Q114" s="35"/>
      <c r="R114" s="35"/>
      <c r="S114" s="72"/>
    </row>
    <row r="115" spans="16:19" ht="15" x14ac:dyDescent="0.25">
      <c r="P115" s="321"/>
      <c r="Q115" s="321"/>
      <c r="R115" s="321"/>
      <c r="S115" s="322"/>
    </row>
    <row r="116" spans="16:19" x14ac:dyDescent="0.25">
      <c r="P116" s="35"/>
      <c r="Q116" s="35"/>
      <c r="R116" s="35"/>
      <c r="S116" s="72"/>
    </row>
    <row r="117" spans="16:19" x14ac:dyDescent="0.25">
      <c r="P117" s="35"/>
      <c r="Q117" s="35"/>
      <c r="R117" s="35"/>
      <c r="S117" s="72"/>
    </row>
    <row r="118" spans="16:19" x14ac:dyDescent="0.25">
      <c r="P118" s="35"/>
      <c r="Q118" s="35"/>
      <c r="R118" s="35"/>
      <c r="S118" s="72"/>
    </row>
    <row r="119" spans="16:19" x14ac:dyDescent="0.25">
      <c r="P119" s="35"/>
      <c r="Q119" s="35"/>
      <c r="R119" s="35"/>
      <c r="S119" s="72"/>
    </row>
    <row r="120" spans="16:19" x14ac:dyDescent="0.25">
      <c r="P120" s="35"/>
      <c r="Q120" s="35"/>
      <c r="R120" s="35"/>
      <c r="S120" s="72"/>
    </row>
    <row r="121" spans="16:19" x14ac:dyDescent="0.25">
      <c r="P121" s="35"/>
      <c r="Q121" s="35"/>
      <c r="R121" s="35"/>
      <c r="S121" s="72"/>
    </row>
    <row r="122" spans="16:19" x14ac:dyDescent="0.25">
      <c r="P122" s="35"/>
      <c r="Q122" s="35"/>
      <c r="R122" s="35"/>
      <c r="S122" s="72"/>
    </row>
    <row r="123" spans="16:19" x14ac:dyDescent="0.25">
      <c r="P123" s="35"/>
      <c r="Q123" s="35"/>
      <c r="R123" s="35"/>
      <c r="S123" s="72"/>
    </row>
    <row r="124" spans="16:19" x14ac:dyDescent="0.25">
      <c r="P124" s="35"/>
      <c r="Q124" s="35"/>
      <c r="R124" s="35"/>
      <c r="S124" s="72"/>
    </row>
    <row r="125" spans="16:19" x14ac:dyDescent="0.25">
      <c r="P125" s="35"/>
      <c r="Q125" s="35"/>
      <c r="R125" s="35"/>
      <c r="S125" s="72"/>
    </row>
    <row r="126" spans="16:19" x14ac:dyDescent="0.25">
      <c r="P126" s="35"/>
      <c r="Q126" s="35"/>
      <c r="R126" s="35"/>
      <c r="S126" s="72"/>
    </row>
    <row r="127" spans="16:19" x14ac:dyDescent="0.25">
      <c r="P127" s="35"/>
      <c r="Q127" s="35"/>
      <c r="R127" s="35"/>
      <c r="S127" s="72"/>
    </row>
    <row r="128" spans="16:19" x14ac:dyDescent="0.25">
      <c r="P128" s="35"/>
      <c r="Q128" s="35"/>
      <c r="R128" s="35"/>
      <c r="S128" s="72"/>
    </row>
    <row r="129" spans="16:19" x14ac:dyDescent="0.25">
      <c r="P129" s="35"/>
      <c r="Q129" s="35"/>
      <c r="R129" s="35"/>
      <c r="S129" s="72"/>
    </row>
    <row r="130" spans="16:19" x14ac:dyDescent="0.25">
      <c r="P130" s="35"/>
      <c r="Q130" s="35"/>
      <c r="R130" s="35"/>
      <c r="S130" s="72"/>
    </row>
    <row r="131" spans="16:19" x14ac:dyDescent="0.25">
      <c r="P131" s="35"/>
      <c r="Q131" s="35"/>
      <c r="R131" s="35"/>
      <c r="S131" s="72"/>
    </row>
    <row r="132" spans="16:19" x14ac:dyDescent="0.25">
      <c r="P132" s="35"/>
      <c r="Q132" s="35"/>
      <c r="R132" s="35"/>
      <c r="S132" s="72"/>
    </row>
    <row r="133" spans="16:19" x14ac:dyDescent="0.25">
      <c r="P133" s="35"/>
      <c r="Q133" s="35"/>
      <c r="R133" s="35"/>
      <c r="S133" s="72"/>
    </row>
    <row r="134" spans="16:19" x14ac:dyDescent="0.25">
      <c r="P134" s="35"/>
      <c r="Q134" s="35"/>
      <c r="R134" s="35"/>
      <c r="S134" s="72"/>
    </row>
    <row r="135" spans="16:19" x14ac:dyDescent="0.25">
      <c r="P135" s="35"/>
      <c r="Q135" s="35"/>
      <c r="R135" s="35"/>
      <c r="S135" s="72"/>
    </row>
    <row r="136" spans="16:19" x14ac:dyDescent="0.25">
      <c r="P136" s="35"/>
      <c r="Q136" s="35"/>
      <c r="R136" s="35"/>
      <c r="S136" s="72"/>
    </row>
    <row r="137" spans="16:19" x14ac:dyDescent="0.25">
      <c r="P137" s="35"/>
      <c r="Q137" s="35"/>
      <c r="R137" s="35"/>
      <c r="S137" s="72"/>
    </row>
    <row r="138" spans="16:19" x14ac:dyDescent="0.25">
      <c r="P138" s="35"/>
      <c r="Q138" s="35"/>
      <c r="R138" s="35"/>
      <c r="S138" s="72"/>
    </row>
    <row r="139" spans="16:19" x14ac:dyDescent="0.25">
      <c r="P139" s="35"/>
      <c r="Q139" s="35"/>
      <c r="R139" s="35"/>
      <c r="S139" s="72"/>
    </row>
    <row r="140" spans="16:19" x14ac:dyDescent="0.25">
      <c r="P140" s="35"/>
      <c r="Q140" s="35"/>
      <c r="R140" s="35"/>
      <c r="S140" s="72"/>
    </row>
    <row r="141" spans="16:19" x14ac:dyDescent="0.25">
      <c r="P141" s="35"/>
      <c r="Q141" s="35"/>
      <c r="R141" s="35"/>
      <c r="S141" s="72"/>
    </row>
    <row r="142" spans="16:19" x14ac:dyDescent="0.25">
      <c r="P142" s="35"/>
      <c r="Q142" s="35"/>
      <c r="R142" s="35"/>
      <c r="S142" s="72"/>
    </row>
    <row r="143" spans="16:19" x14ac:dyDescent="0.25">
      <c r="P143" s="35"/>
      <c r="Q143" s="35"/>
      <c r="R143" s="35"/>
      <c r="S143" s="72"/>
    </row>
    <row r="144" spans="16:19" x14ac:dyDescent="0.25">
      <c r="P144" s="35"/>
      <c r="Q144" s="35"/>
      <c r="R144" s="35"/>
      <c r="S144" s="72"/>
    </row>
    <row r="145" spans="16:19" x14ac:dyDescent="0.25">
      <c r="P145" s="35"/>
      <c r="Q145" s="35"/>
      <c r="R145" s="35"/>
      <c r="S145" s="72"/>
    </row>
    <row r="146" spans="16:19" x14ac:dyDescent="0.25">
      <c r="P146" s="35"/>
      <c r="Q146" s="35"/>
      <c r="R146" s="35"/>
      <c r="S146" s="72"/>
    </row>
    <row r="147" spans="16:19" x14ac:dyDescent="0.25">
      <c r="P147" s="35"/>
      <c r="Q147" s="35"/>
      <c r="R147" s="35"/>
      <c r="S147" s="72"/>
    </row>
    <row r="148" spans="16:19" x14ac:dyDescent="0.25">
      <c r="P148" s="35"/>
      <c r="Q148" s="35"/>
      <c r="R148" s="35"/>
      <c r="S148" s="72"/>
    </row>
    <row r="149" spans="16:19" x14ac:dyDescent="0.25">
      <c r="P149" s="35"/>
      <c r="Q149" s="35"/>
      <c r="R149" s="35"/>
      <c r="S149" s="72"/>
    </row>
    <row r="150" spans="16:19" x14ac:dyDescent="0.25">
      <c r="P150" s="35"/>
      <c r="Q150" s="35"/>
      <c r="R150" s="35"/>
      <c r="S150" s="72"/>
    </row>
    <row r="151" spans="16:19" x14ac:dyDescent="0.25">
      <c r="P151" s="35"/>
      <c r="Q151" s="35"/>
      <c r="R151" s="35"/>
      <c r="S151" s="72"/>
    </row>
    <row r="152" spans="16:19" x14ac:dyDescent="0.25">
      <c r="P152" s="35"/>
      <c r="Q152" s="35"/>
      <c r="R152" s="35"/>
      <c r="S152" s="72"/>
    </row>
    <row r="153" spans="16:19" x14ac:dyDescent="0.25">
      <c r="P153" s="35"/>
      <c r="Q153" s="35"/>
      <c r="R153" s="35"/>
      <c r="S153" s="72"/>
    </row>
    <row r="154" spans="16:19" x14ac:dyDescent="0.25">
      <c r="P154" s="35"/>
      <c r="Q154" s="35"/>
      <c r="R154" s="35"/>
      <c r="S154" s="72"/>
    </row>
    <row r="155" spans="16:19" x14ac:dyDescent="0.25">
      <c r="P155" s="35"/>
      <c r="Q155" s="35"/>
      <c r="R155" s="35"/>
      <c r="S155" s="72"/>
    </row>
    <row r="156" spans="16:19" x14ac:dyDescent="0.25">
      <c r="P156" s="35"/>
      <c r="Q156" s="35"/>
      <c r="R156" s="35"/>
      <c r="S156" s="72"/>
    </row>
    <row r="157" spans="16:19" x14ac:dyDescent="0.25">
      <c r="P157" s="35"/>
      <c r="Q157" s="35"/>
      <c r="R157" s="35"/>
      <c r="S157" s="72"/>
    </row>
    <row r="158" spans="16:19" x14ac:dyDescent="0.25">
      <c r="P158" s="35"/>
      <c r="Q158" s="35"/>
      <c r="R158" s="35"/>
      <c r="S158" s="72"/>
    </row>
    <row r="159" spans="16:19" x14ac:dyDescent="0.25">
      <c r="P159" s="35"/>
      <c r="Q159" s="35"/>
      <c r="R159" s="35"/>
      <c r="S159" s="72"/>
    </row>
    <row r="160" spans="16:19" x14ac:dyDescent="0.25">
      <c r="P160" s="35"/>
      <c r="Q160" s="35"/>
      <c r="R160" s="35"/>
      <c r="S160" s="72"/>
    </row>
    <row r="161" spans="16:19" x14ac:dyDescent="0.25">
      <c r="P161" s="35"/>
      <c r="Q161" s="35"/>
      <c r="R161" s="35"/>
      <c r="S161" s="72"/>
    </row>
    <row r="162" spans="16:19" x14ac:dyDescent="0.25">
      <c r="P162" s="35"/>
      <c r="Q162" s="35"/>
      <c r="R162" s="35"/>
      <c r="S162" s="72"/>
    </row>
    <row r="163" spans="16:19" x14ac:dyDescent="0.25">
      <c r="P163" s="35"/>
      <c r="Q163" s="35"/>
      <c r="R163" s="35"/>
      <c r="S163" s="72"/>
    </row>
    <row r="164" spans="16:19" x14ac:dyDescent="0.25">
      <c r="P164" s="35"/>
      <c r="Q164" s="35"/>
      <c r="R164" s="35"/>
      <c r="S164" s="72"/>
    </row>
    <row r="165" spans="16:19" x14ac:dyDescent="0.25">
      <c r="P165" s="35"/>
      <c r="Q165" s="35"/>
      <c r="R165" s="35"/>
      <c r="S165" s="72"/>
    </row>
    <row r="166" spans="16:19" x14ac:dyDescent="0.25">
      <c r="P166" s="35"/>
      <c r="Q166" s="35"/>
      <c r="R166" s="35"/>
      <c r="S166" s="72"/>
    </row>
    <row r="167" spans="16:19" x14ac:dyDescent="0.25">
      <c r="P167" s="35"/>
      <c r="Q167" s="35"/>
      <c r="R167" s="35"/>
      <c r="S167" s="72"/>
    </row>
    <row r="168" spans="16:19" x14ac:dyDescent="0.25">
      <c r="P168" s="35"/>
      <c r="Q168" s="35"/>
      <c r="R168" s="35"/>
      <c r="S168" s="72"/>
    </row>
    <row r="169" spans="16:19" x14ac:dyDescent="0.25">
      <c r="P169" s="35"/>
      <c r="Q169" s="35"/>
      <c r="R169" s="35"/>
      <c r="S169" s="72"/>
    </row>
    <row r="170" spans="16:19" x14ac:dyDescent="0.25">
      <c r="P170" s="35"/>
      <c r="Q170" s="35"/>
      <c r="R170" s="35"/>
      <c r="S170" s="72"/>
    </row>
    <row r="171" spans="16:19" x14ac:dyDescent="0.25">
      <c r="P171" s="35"/>
      <c r="Q171" s="35"/>
      <c r="R171" s="35"/>
      <c r="S171" s="72"/>
    </row>
    <row r="172" spans="16:19" x14ac:dyDescent="0.25">
      <c r="P172" s="35"/>
      <c r="Q172" s="35"/>
      <c r="R172" s="35"/>
      <c r="S172" s="72"/>
    </row>
    <row r="173" spans="16:19" x14ac:dyDescent="0.25">
      <c r="P173" s="35"/>
      <c r="Q173" s="35"/>
      <c r="R173" s="35"/>
      <c r="S173" s="72"/>
    </row>
    <row r="174" spans="16:19" x14ac:dyDescent="0.25">
      <c r="P174" s="35"/>
      <c r="Q174" s="35"/>
      <c r="R174" s="35"/>
      <c r="S174" s="72"/>
    </row>
    <row r="175" spans="16:19" x14ac:dyDescent="0.25">
      <c r="P175" s="35"/>
      <c r="Q175" s="35"/>
      <c r="R175" s="35"/>
      <c r="S175" s="72"/>
    </row>
    <row r="176" spans="16:19" x14ac:dyDescent="0.25">
      <c r="P176" s="35"/>
      <c r="Q176" s="35"/>
      <c r="R176" s="35"/>
      <c r="S176" s="72"/>
    </row>
    <row r="177" spans="16:19" x14ac:dyDescent="0.25">
      <c r="P177" s="35"/>
      <c r="Q177" s="35"/>
      <c r="R177" s="35"/>
      <c r="S177" s="72"/>
    </row>
    <row r="178" spans="16:19" x14ac:dyDescent="0.25">
      <c r="P178" s="35"/>
      <c r="Q178" s="35"/>
      <c r="R178" s="35"/>
      <c r="S178" s="72"/>
    </row>
    <row r="179" spans="16:19" x14ac:dyDescent="0.25">
      <c r="P179" s="35"/>
      <c r="Q179" s="35"/>
      <c r="R179" s="35"/>
      <c r="S179" s="72"/>
    </row>
    <row r="180" spans="16:19" x14ac:dyDescent="0.25">
      <c r="P180" s="35"/>
      <c r="Q180" s="35"/>
      <c r="R180" s="35"/>
      <c r="S180" s="72"/>
    </row>
    <row r="181" spans="16:19" x14ac:dyDescent="0.25">
      <c r="P181" s="35"/>
      <c r="Q181" s="35"/>
      <c r="R181" s="35"/>
      <c r="S181" s="72"/>
    </row>
    <row r="182" spans="16:19" x14ac:dyDescent="0.25">
      <c r="P182" s="35"/>
      <c r="Q182" s="35"/>
      <c r="R182" s="35"/>
      <c r="S182" s="72"/>
    </row>
    <row r="183" spans="16:19" x14ac:dyDescent="0.25">
      <c r="P183" s="35"/>
      <c r="Q183" s="35"/>
      <c r="R183" s="35"/>
      <c r="S183" s="72"/>
    </row>
    <row r="184" spans="16:19" x14ac:dyDescent="0.25">
      <c r="P184" s="35"/>
      <c r="Q184" s="35"/>
      <c r="R184" s="35"/>
      <c r="S184" s="72"/>
    </row>
    <row r="185" spans="16:19" x14ac:dyDescent="0.25">
      <c r="P185" s="35"/>
      <c r="Q185" s="35"/>
      <c r="R185" s="35"/>
      <c r="S185" s="72"/>
    </row>
    <row r="186" spans="16:19" x14ac:dyDescent="0.25">
      <c r="P186" s="35"/>
      <c r="Q186" s="35"/>
      <c r="R186" s="35"/>
      <c r="S186" s="72"/>
    </row>
    <row r="187" spans="16:19" x14ac:dyDescent="0.25">
      <c r="P187" s="35"/>
      <c r="Q187" s="35"/>
      <c r="R187" s="35"/>
      <c r="S187" s="72"/>
    </row>
    <row r="188" spans="16:19" x14ac:dyDescent="0.25">
      <c r="P188" s="35"/>
      <c r="Q188" s="35"/>
      <c r="R188" s="35"/>
      <c r="S188" s="72"/>
    </row>
    <row r="189" spans="16:19" x14ac:dyDescent="0.25">
      <c r="P189" s="35"/>
      <c r="Q189" s="35"/>
      <c r="R189" s="35"/>
      <c r="S189" s="72"/>
    </row>
    <row r="190" spans="16:19" x14ac:dyDescent="0.25">
      <c r="P190" s="35"/>
      <c r="Q190" s="35"/>
      <c r="R190" s="35"/>
      <c r="S190" s="72"/>
    </row>
    <row r="191" spans="16:19" x14ac:dyDescent="0.25">
      <c r="P191" s="35"/>
      <c r="Q191" s="35"/>
      <c r="R191" s="35"/>
      <c r="S191" s="72"/>
    </row>
    <row r="192" spans="16:19" x14ac:dyDescent="0.25">
      <c r="P192" s="35"/>
      <c r="Q192" s="35"/>
      <c r="R192" s="35"/>
      <c r="S192" s="72"/>
    </row>
    <row r="193" spans="16:19" x14ac:dyDescent="0.25">
      <c r="P193" s="35"/>
      <c r="Q193" s="35"/>
      <c r="R193" s="35"/>
      <c r="S193" s="72"/>
    </row>
    <row r="194" spans="16:19" x14ac:dyDescent="0.25">
      <c r="P194" s="35"/>
      <c r="Q194" s="35"/>
      <c r="R194" s="35"/>
      <c r="S194" s="72"/>
    </row>
    <row r="195" spans="16:19" x14ac:dyDescent="0.25">
      <c r="P195" s="35"/>
      <c r="Q195" s="35"/>
      <c r="R195" s="35"/>
      <c r="S195" s="72"/>
    </row>
    <row r="196" spans="16:19" x14ac:dyDescent="0.25">
      <c r="P196" s="35"/>
      <c r="Q196" s="35"/>
      <c r="R196" s="35"/>
      <c r="S196" s="72"/>
    </row>
    <row r="197" spans="16:19" x14ac:dyDescent="0.25">
      <c r="P197" s="35"/>
      <c r="Q197" s="35"/>
      <c r="R197" s="35"/>
      <c r="S197" s="72"/>
    </row>
    <row r="198" spans="16:19" x14ac:dyDescent="0.25">
      <c r="P198" s="35"/>
      <c r="Q198" s="35"/>
      <c r="R198" s="35"/>
      <c r="S198" s="72"/>
    </row>
    <row r="199" spans="16:19" x14ac:dyDescent="0.25">
      <c r="P199" s="35"/>
      <c r="Q199" s="35"/>
      <c r="R199" s="35"/>
      <c r="S199" s="72"/>
    </row>
    <row r="200" spans="16:19" x14ac:dyDescent="0.25">
      <c r="P200" s="35"/>
      <c r="Q200" s="35"/>
      <c r="R200" s="35"/>
      <c r="S200" s="72"/>
    </row>
    <row r="201" spans="16:19" x14ac:dyDescent="0.25">
      <c r="P201" s="35"/>
      <c r="Q201" s="35"/>
      <c r="R201" s="35"/>
      <c r="S201" s="72"/>
    </row>
    <row r="202" spans="16:19" x14ac:dyDescent="0.25">
      <c r="P202" s="35"/>
      <c r="Q202" s="35"/>
      <c r="R202" s="35"/>
      <c r="S202" s="72"/>
    </row>
    <row r="203" spans="16:19" x14ac:dyDescent="0.25">
      <c r="P203" s="35"/>
      <c r="Q203" s="35"/>
      <c r="R203" s="35"/>
      <c r="S203" s="72"/>
    </row>
    <row r="204" spans="16:19" x14ac:dyDescent="0.25">
      <c r="P204" s="35"/>
      <c r="Q204" s="35"/>
      <c r="R204" s="35"/>
      <c r="S204" s="72"/>
    </row>
    <row r="205" spans="16:19" x14ac:dyDescent="0.25">
      <c r="P205" s="35"/>
      <c r="Q205" s="35"/>
      <c r="R205" s="35"/>
      <c r="S205" s="72"/>
    </row>
    <row r="206" spans="16:19" x14ac:dyDescent="0.25">
      <c r="P206" s="35"/>
      <c r="Q206" s="35"/>
      <c r="R206" s="35"/>
      <c r="S206" s="72"/>
    </row>
    <row r="207" spans="16:19" x14ac:dyDescent="0.25">
      <c r="P207" s="35"/>
      <c r="Q207" s="35"/>
      <c r="R207" s="35"/>
      <c r="S207" s="72"/>
    </row>
    <row r="208" spans="16:19" x14ac:dyDescent="0.25">
      <c r="P208" s="35"/>
      <c r="Q208" s="35"/>
      <c r="R208" s="35"/>
      <c r="S208" s="72"/>
    </row>
    <row r="209" spans="16:19" x14ac:dyDescent="0.25">
      <c r="P209" s="35"/>
      <c r="Q209" s="35"/>
      <c r="R209" s="35"/>
      <c r="S209" s="72"/>
    </row>
    <row r="210" spans="16:19" x14ac:dyDescent="0.25">
      <c r="P210" s="35"/>
      <c r="Q210" s="35"/>
      <c r="R210" s="35"/>
      <c r="S210" s="72"/>
    </row>
    <row r="211" spans="16:19" x14ac:dyDescent="0.25">
      <c r="P211" s="35"/>
      <c r="Q211" s="35"/>
      <c r="R211" s="35"/>
      <c r="S211" s="72"/>
    </row>
    <row r="212" spans="16:19" x14ac:dyDescent="0.25">
      <c r="P212" s="35"/>
      <c r="Q212" s="35"/>
      <c r="R212" s="35"/>
      <c r="S212" s="72"/>
    </row>
    <row r="213" spans="16:19" x14ac:dyDescent="0.25">
      <c r="P213" s="35"/>
      <c r="Q213" s="35"/>
      <c r="R213" s="35"/>
      <c r="S213" s="72"/>
    </row>
    <row r="214" spans="16:19" x14ac:dyDescent="0.25">
      <c r="P214" s="35"/>
      <c r="Q214" s="35"/>
      <c r="R214" s="35"/>
      <c r="S214" s="72"/>
    </row>
    <row r="215" spans="16:19" x14ac:dyDescent="0.25">
      <c r="P215" s="35"/>
      <c r="Q215" s="35"/>
      <c r="R215" s="35"/>
      <c r="S215" s="72"/>
    </row>
    <row r="216" spans="16:19" x14ac:dyDescent="0.25">
      <c r="P216" s="35"/>
      <c r="Q216" s="35"/>
      <c r="R216" s="35"/>
      <c r="S216" s="72"/>
    </row>
    <row r="217" spans="16:19" x14ac:dyDescent="0.25">
      <c r="P217" s="35"/>
      <c r="Q217" s="35"/>
      <c r="R217" s="35"/>
      <c r="S217" s="72"/>
    </row>
    <row r="218" spans="16:19" x14ac:dyDescent="0.25">
      <c r="P218" s="35"/>
      <c r="Q218" s="35"/>
      <c r="R218" s="35"/>
      <c r="S218" s="72"/>
    </row>
    <row r="219" spans="16:19" x14ac:dyDescent="0.25">
      <c r="P219" s="35"/>
      <c r="Q219" s="35"/>
      <c r="R219" s="35"/>
      <c r="S219" s="72"/>
    </row>
    <row r="220" spans="16:19" x14ac:dyDescent="0.25">
      <c r="P220" s="35"/>
      <c r="Q220" s="35"/>
      <c r="R220" s="35"/>
      <c r="S220" s="72"/>
    </row>
    <row r="221" spans="16:19" x14ac:dyDescent="0.25">
      <c r="P221" s="35"/>
      <c r="Q221" s="35"/>
      <c r="R221" s="35"/>
      <c r="S221" s="72"/>
    </row>
    <row r="222" spans="16:19" x14ac:dyDescent="0.25">
      <c r="P222" s="35"/>
      <c r="Q222" s="35"/>
      <c r="R222" s="35"/>
      <c r="S222" s="72"/>
    </row>
    <row r="223" spans="16:19" ht="15" x14ac:dyDescent="0.25">
      <c r="P223" s="321"/>
      <c r="Q223" s="321"/>
      <c r="R223" s="321"/>
      <c r="S223" s="322"/>
    </row>
    <row r="224" spans="16:19" x14ac:dyDescent="0.25">
      <c r="P224" s="35"/>
      <c r="Q224" s="35"/>
      <c r="R224" s="35"/>
      <c r="S224" s="72"/>
    </row>
    <row r="225" spans="16:19" x14ac:dyDescent="0.25">
      <c r="P225" s="35"/>
      <c r="Q225" s="35"/>
      <c r="R225" s="35"/>
      <c r="S225" s="72"/>
    </row>
    <row r="226" spans="16:19" x14ac:dyDescent="0.25">
      <c r="P226" s="35"/>
      <c r="Q226" s="35"/>
      <c r="R226" s="35"/>
      <c r="S226" s="72"/>
    </row>
    <row r="227" spans="16:19" x14ac:dyDescent="0.25">
      <c r="P227" s="35"/>
      <c r="Q227" s="35"/>
      <c r="R227" s="35"/>
      <c r="S227" s="72"/>
    </row>
    <row r="228" spans="16:19" x14ac:dyDescent="0.25">
      <c r="P228" s="35"/>
      <c r="Q228" s="35"/>
      <c r="R228" s="35"/>
      <c r="S228" s="72"/>
    </row>
    <row r="229" spans="16:19" x14ac:dyDescent="0.25">
      <c r="P229" s="35"/>
      <c r="Q229" s="35"/>
      <c r="R229" s="35"/>
      <c r="S229" s="72"/>
    </row>
    <row r="230" spans="16:19" x14ac:dyDescent="0.25">
      <c r="P230" s="35"/>
      <c r="Q230" s="35"/>
      <c r="R230" s="35"/>
      <c r="S230" s="72"/>
    </row>
    <row r="231" spans="16:19" x14ac:dyDescent="0.25">
      <c r="P231" s="35"/>
      <c r="Q231" s="35"/>
      <c r="R231" s="35"/>
      <c r="S231" s="72"/>
    </row>
    <row r="232" spans="16:19" ht="15" x14ac:dyDescent="0.25">
      <c r="P232" s="321"/>
      <c r="Q232" s="321"/>
      <c r="R232" s="321"/>
      <c r="S232" s="322"/>
    </row>
    <row r="233" spans="16:19" x14ac:dyDescent="0.25">
      <c r="P233" s="35"/>
      <c r="Q233" s="35"/>
      <c r="R233" s="35"/>
      <c r="S233" s="72"/>
    </row>
    <row r="234" spans="16:19" x14ac:dyDescent="0.25">
      <c r="P234" s="35"/>
      <c r="Q234" s="35"/>
      <c r="R234" s="35"/>
      <c r="S234" s="72"/>
    </row>
    <row r="235" spans="16:19" ht="15" x14ac:dyDescent="0.25">
      <c r="P235" s="321"/>
      <c r="Q235" s="321"/>
      <c r="R235" s="321"/>
      <c r="S235" s="322"/>
    </row>
    <row r="236" spans="16:19" x14ac:dyDescent="0.25">
      <c r="P236" s="35"/>
      <c r="Q236" s="35"/>
      <c r="R236" s="35"/>
      <c r="S236" s="72"/>
    </row>
    <row r="237" spans="16:19" x14ac:dyDescent="0.25">
      <c r="P237" s="35"/>
      <c r="Q237" s="35"/>
      <c r="R237" s="35"/>
      <c r="S237" s="72"/>
    </row>
    <row r="238" spans="16:19" x14ac:dyDescent="0.25">
      <c r="P238" s="35"/>
      <c r="Q238" s="35"/>
      <c r="R238" s="35"/>
      <c r="S238" s="72"/>
    </row>
    <row r="239" spans="16:19" x14ac:dyDescent="0.25">
      <c r="P239" s="35"/>
      <c r="Q239" s="35"/>
      <c r="R239" s="35"/>
      <c r="S239" s="72"/>
    </row>
    <row r="240" spans="16:19" ht="15" x14ac:dyDescent="0.25">
      <c r="P240" s="321"/>
      <c r="Q240" s="321"/>
      <c r="R240" s="321"/>
      <c r="S240" s="322"/>
    </row>
    <row r="241" spans="16:19" x14ac:dyDescent="0.25">
      <c r="P241" s="35"/>
      <c r="Q241" s="35"/>
      <c r="R241" s="35"/>
      <c r="S241" s="72"/>
    </row>
    <row r="242" spans="16:19" x14ac:dyDescent="0.25">
      <c r="P242" s="35"/>
      <c r="Q242" s="35"/>
      <c r="R242" s="35"/>
      <c r="S242" s="72"/>
    </row>
    <row r="243" spans="16:19" x14ac:dyDescent="0.25">
      <c r="P243" s="35"/>
      <c r="Q243" s="35"/>
      <c r="R243" s="35"/>
      <c r="S243" s="72"/>
    </row>
    <row r="244" spans="16:19" x14ac:dyDescent="0.25">
      <c r="P244" s="35"/>
      <c r="Q244" s="35"/>
      <c r="R244" s="35"/>
      <c r="S244" s="72"/>
    </row>
    <row r="245" spans="16:19" x14ac:dyDescent="0.25">
      <c r="P245" s="35"/>
      <c r="Q245" s="35"/>
      <c r="R245" s="35"/>
      <c r="S245" s="72"/>
    </row>
    <row r="246" spans="16:19" x14ac:dyDescent="0.25">
      <c r="P246" s="35"/>
      <c r="Q246" s="35"/>
      <c r="R246" s="35"/>
      <c r="S246" s="72"/>
    </row>
    <row r="247" spans="16:19" x14ac:dyDescent="0.25">
      <c r="P247" s="35"/>
      <c r="Q247" s="35"/>
      <c r="R247" s="35"/>
      <c r="S247" s="72"/>
    </row>
    <row r="248" spans="16:19" x14ac:dyDescent="0.25">
      <c r="P248" s="35"/>
      <c r="Q248" s="35"/>
      <c r="R248" s="35"/>
      <c r="S248" s="72"/>
    </row>
    <row r="249" spans="16:19" x14ac:dyDescent="0.25">
      <c r="P249" s="35"/>
      <c r="Q249" s="35"/>
      <c r="R249" s="35"/>
      <c r="S249" s="72"/>
    </row>
    <row r="250" spans="16:19" x14ac:dyDescent="0.25">
      <c r="P250" s="35"/>
      <c r="Q250" s="35"/>
      <c r="R250" s="35"/>
      <c r="S250" s="72"/>
    </row>
    <row r="251" spans="16:19" x14ac:dyDescent="0.25">
      <c r="P251" s="35"/>
      <c r="Q251" s="35"/>
      <c r="R251" s="35"/>
      <c r="S251" s="72"/>
    </row>
    <row r="252" spans="16:19" ht="15" x14ac:dyDescent="0.25">
      <c r="P252" s="321"/>
      <c r="Q252" s="321"/>
      <c r="R252" s="321"/>
      <c r="S252" s="322"/>
    </row>
    <row r="253" spans="16:19" x14ac:dyDescent="0.25">
      <c r="P253" s="35"/>
      <c r="Q253" s="35"/>
      <c r="R253" s="35"/>
      <c r="S253" s="72"/>
    </row>
    <row r="254" spans="16:19" x14ac:dyDescent="0.25">
      <c r="P254" s="35"/>
      <c r="Q254" s="35"/>
      <c r="R254" s="35"/>
      <c r="S254" s="72"/>
    </row>
    <row r="255" spans="16:19" x14ac:dyDescent="0.25">
      <c r="P255" s="35"/>
      <c r="Q255" s="35"/>
      <c r="R255" s="35"/>
      <c r="S255" s="72"/>
    </row>
    <row r="256" spans="16:19" x14ac:dyDescent="0.25">
      <c r="P256" s="35"/>
      <c r="Q256" s="35"/>
      <c r="R256" s="35"/>
      <c r="S256" s="72"/>
    </row>
    <row r="257" spans="16:19" x14ac:dyDescent="0.25">
      <c r="P257" s="35"/>
      <c r="Q257" s="35"/>
      <c r="R257" s="35"/>
      <c r="S257" s="72"/>
    </row>
    <row r="258" spans="16:19" x14ac:dyDescent="0.25">
      <c r="P258" s="35"/>
      <c r="Q258" s="35"/>
      <c r="R258" s="35"/>
      <c r="S258" s="72"/>
    </row>
    <row r="259" spans="16:19" x14ac:dyDescent="0.25">
      <c r="P259" s="35"/>
      <c r="Q259" s="35"/>
      <c r="R259" s="35"/>
      <c r="S259" s="72"/>
    </row>
    <row r="260" spans="16:19" x14ac:dyDescent="0.25">
      <c r="P260" s="35"/>
      <c r="Q260" s="35"/>
      <c r="R260" s="35"/>
      <c r="S260" s="72"/>
    </row>
    <row r="261" spans="16:19" x14ac:dyDescent="0.25">
      <c r="P261" s="35"/>
      <c r="Q261" s="35"/>
      <c r="R261" s="35"/>
      <c r="S261" s="72"/>
    </row>
    <row r="262" spans="16:19" x14ac:dyDescent="0.25">
      <c r="P262" s="35"/>
      <c r="Q262" s="35"/>
      <c r="R262" s="35"/>
      <c r="S262" s="72"/>
    </row>
    <row r="263" spans="16:19" x14ac:dyDescent="0.25">
      <c r="P263" s="35"/>
      <c r="Q263" s="35"/>
      <c r="R263" s="35"/>
      <c r="S263" s="72"/>
    </row>
    <row r="264" spans="16:19" x14ac:dyDescent="0.25">
      <c r="P264" s="35"/>
      <c r="Q264" s="35"/>
      <c r="R264" s="35"/>
      <c r="S264" s="72"/>
    </row>
    <row r="265" spans="16:19" x14ac:dyDescent="0.25">
      <c r="P265" s="35"/>
      <c r="Q265" s="35"/>
      <c r="R265" s="35"/>
      <c r="S265" s="72"/>
    </row>
    <row r="266" spans="16:19" x14ac:dyDescent="0.25">
      <c r="P266" s="35"/>
      <c r="Q266" s="35"/>
      <c r="R266" s="35"/>
      <c r="S266" s="72"/>
    </row>
    <row r="267" spans="16:19" x14ac:dyDescent="0.25">
      <c r="P267" s="35"/>
      <c r="Q267" s="35"/>
      <c r="R267" s="35"/>
      <c r="S267" s="72"/>
    </row>
    <row r="268" spans="16:19" x14ac:dyDescent="0.25">
      <c r="P268" s="35"/>
      <c r="Q268" s="35"/>
      <c r="R268" s="35"/>
      <c r="S268" s="72"/>
    </row>
    <row r="269" spans="16:19" x14ac:dyDescent="0.25">
      <c r="P269" s="35"/>
      <c r="Q269" s="35"/>
      <c r="R269" s="35"/>
      <c r="S269" s="72"/>
    </row>
    <row r="270" spans="16:19" x14ac:dyDescent="0.25">
      <c r="P270" s="35"/>
      <c r="Q270" s="35"/>
      <c r="R270" s="35"/>
      <c r="S270" s="72"/>
    </row>
    <row r="271" spans="16:19" x14ac:dyDescent="0.25">
      <c r="P271" s="35"/>
      <c r="Q271" s="35"/>
      <c r="R271" s="35"/>
      <c r="S271" s="72"/>
    </row>
    <row r="272" spans="16:19" x14ac:dyDescent="0.25">
      <c r="P272" s="35"/>
      <c r="Q272" s="35"/>
      <c r="R272" s="35"/>
      <c r="S272" s="72"/>
    </row>
    <row r="273" spans="16:19" x14ac:dyDescent="0.25">
      <c r="P273" s="35"/>
      <c r="Q273" s="35"/>
      <c r="R273" s="35"/>
      <c r="S273" s="72"/>
    </row>
    <row r="274" spans="16:19" x14ac:dyDescent="0.25">
      <c r="P274" s="35"/>
      <c r="Q274" s="35"/>
      <c r="R274" s="35"/>
      <c r="S274" s="72"/>
    </row>
    <row r="275" spans="16:19" x14ac:dyDescent="0.25">
      <c r="P275" s="35"/>
      <c r="Q275" s="35"/>
      <c r="R275" s="35"/>
      <c r="S275" s="72"/>
    </row>
    <row r="276" spans="16:19" x14ac:dyDescent="0.25">
      <c r="P276" s="35"/>
      <c r="Q276" s="35"/>
      <c r="R276" s="35"/>
      <c r="S276" s="72"/>
    </row>
    <row r="277" spans="16:19" x14ac:dyDescent="0.25">
      <c r="P277" s="35"/>
      <c r="Q277" s="35"/>
      <c r="R277" s="35"/>
      <c r="S277" s="72"/>
    </row>
    <row r="291" spans="16:19" x14ac:dyDescent="0.25">
      <c r="P291" s="35"/>
      <c r="Q291" s="35"/>
      <c r="R291" s="35"/>
      <c r="S291" s="72"/>
    </row>
    <row r="292" spans="16:19" x14ac:dyDescent="0.25">
      <c r="P292" s="35"/>
      <c r="Q292" s="35"/>
      <c r="R292" s="35"/>
      <c r="S292" s="72"/>
    </row>
    <row r="293" spans="16:19" x14ac:dyDescent="0.25">
      <c r="P293" s="35"/>
      <c r="Q293" s="35"/>
      <c r="R293" s="35"/>
      <c r="S293" s="72"/>
    </row>
    <row r="294" spans="16:19" x14ac:dyDescent="0.25">
      <c r="P294" s="35"/>
      <c r="Q294" s="35"/>
      <c r="R294" s="35"/>
      <c r="S294" s="72"/>
    </row>
    <row r="295" spans="16:19" x14ac:dyDescent="0.25">
      <c r="P295" s="35"/>
      <c r="Q295" s="35"/>
      <c r="R295" s="35"/>
      <c r="S295" s="72"/>
    </row>
    <row r="296" spans="16:19" x14ac:dyDescent="0.25">
      <c r="P296" s="35"/>
      <c r="Q296" s="35"/>
      <c r="R296" s="35"/>
      <c r="S296" s="72"/>
    </row>
    <row r="297" spans="16:19" x14ac:dyDescent="0.25">
      <c r="P297" s="35"/>
      <c r="Q297" s="35"/>
      <c r="R297" s="35"/>
      <c r="S297" s="72"/>
    </row>
    <row r="298" spans="16:19" x14ac:dyDescent="0.25">
      <c r="P298" s="35"/>
      <c r="Q298" s="35"/>
      <c r="R298" s="35"/>
      <c r="S298" s="72"/>
    </row>
    <row r="299" spans="16:19" x14ac:dyDescent="0.25">
      <c r="P299" s="35"/>
      <c r="Q299" s="35"/>
      <c r="R299" s="35"/>
      <c r="S299" s="72"/>
    </row>
    <row r="300" spans="16:19" x14ac:dyDescent="0.25">
      <c r="P300" s="35"/>
      <c r="Q300" s="35"/>
      <c r="R300" s="35"/>
      <c r="S300" s="72"/>
    </row>
  </sheetData>
  <dataValidations count="1">
    <dataValidation allowBlank="1" showErrorMessage="1" sqref="B1:B1048576"/>
  </dataValidations>
  <pageMargins left="0.5" right="0.5" top="0.5" bottom="0.5" header="0.3" footer="0.3"/>
  <pageSetup paperSize="3" orientation="landscape" r:id="rId1"/>
  <ignoredErrors>
    <ignoredError sqref="H3:H5 H22 H19:H21 H8:H18" numberStoredAsText="1"/>
    <ignoredError sqref="P3:P8 P22 T21" unlockedFormula="1"/>
    <ignoredError sqref="P9:P21"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D111"/>
  <sheetViews>
    <sheetView zoomScaleNormal="100" workbookViewId="0">
      <pane xSplit="6" ySplit="2" topLeftCell="G3" activePane="bottomRight" state="frozen"/>
      <selection pane="topRight" activeCell="G1" sqref="G1"/>
      <selection pane="bottomLeft" activeCell="A4" sqref="A4"/>
      <selection pane="bottomRight" activeCell="M1" sqref="M1:M1048576"/>
    </sheetView>
  </sheetViews>
  <sheetFormatPr defaultColWidth="9.33203125" defaultRowHeight="13.2" x14ac:dyDescent="0.25"/>
  <cols>
    <col min="1" max="1" width="10.44140625" style="22" customWidth="1"/>
    <col min="2" max="2" width="10.33203125" style="22" customWidth="1"/>
    <col min="3" max="3" width="18.5546875" style="22" bestFit="1" customWidth="1"/>
    <col min="4" max="4" width="13.6640625" style="22" customWidth="1"/>
    <col min="5" max="5" width="35.33203125" style="22" customWidth="1"/>
    <col min="6" max="6" width="14.44140625" style="22" customWidth="1"/>
    <col min="7" max="7" width="19.6640625" style="22" bestFit="1" customWidth="1"/>
    <col min="8" max="8" width="20.44140625" style="22" bestFit="1" customWidth="1"/>
    <col min="9" max="9" width="15.33203125" style="22" customWidth="1"/>
    <col min="10" max="10" width="16.44140625" style="22" customWidth="1"/>
    <col min="11" max="11" width="13.33203125" style="22" customWidth="1"/>
    <col min="12" max="12" width="8.33203125" style="47" customWidth="1"/>
    <col min="13" max="13" width="9.5546875" style="22" customWidth="1"/>
    <col min="14" max="14" width="6.33203125" style="22" bestFit="1" customWidth="1"/>
    <col min="15" max="15" width="9.88671875" style="28" customWidth="1"/>
    <col min="16" max="16" width="12.5546875" style="92" bestFit="1" customWidth="1"/>
    <col min="17" max="17" width="14" style="285" bestFit="1" customWidth="1"/>
    <col min="18" max="18" width="14.33203125" style="285" bestFit="1" customWidth="1"/>
    <col min="19" max="19" width="12.5546875" style="92" bestFit="1" customWidth="1"/>
    <col min="20" max="20" width="9.6640625" style="28" bestFit="1" customWidth="1"/>
    <col min="21" max="21" width="10.33203125" style="22" bestFit="1" customWidth="1"/>
    <col min="22" max="22" width="9.6640625" style="22" bestFit="1" customWidth="1"/>
    <col min="23" max="23" width="9.6640625" style="28" bestFit="1" customWidth="1"/>
    <col min="24" max="24" width="8.6640625" style="28" customWidth="1"/>
    <col min="25" max="26" width="8.6640625" style="22" customWidth="1"/>
    <col min="27" max="28" width="8.6640625" style="28" customWidth="1"/>
    <col min="29" max="30" width="8.6640625" style="22" customWidth="1"/>
    <col min="31" max="31" width="8.6640625" style="28" customWidth="1"/>
    <col min="32" max="32" width="9.33203125" style="28" customWidth="1"/>
    <col min="33" max="43" width="15.6640625" style="22" customWidth="1"/>
    <col min="44" max="16384" width="9.33203125" style="22"/>
  </cols>
  <sheetData>
    <row r="1" spans="1:264" ht="57" customHeight="1" thickBot="1" x14ac:dyDescent="0.3">
      <c r="O1" s="280"/>
      <c r="P1" s="394"/>
      <c r="Q1" s="394"/>
      <c r="R1" s="394"/>
      <c r="S1" s="394"/>
      <c r="T1" s="280"/>
      <c r="U1" s="280"/>
      <c r="V1" s="280"/>
      <c r="W1" s="280"/>
      <c r="X1" s="280"/>
      <c r="Y1" s="280"/>
      <c r="Z1" s="280"/>
      <c r="AA1" s="280"/>
      <c r="AB1" s="280"/>
      <c r="AC1" s="280"/>
      <c r="AD1" s="280"/>
      <c r="AE1" s="280"/>
      <c r="AF1" s="280"/>
    </row>
    <row r="2" spans="1:264" s="128" customFormat="1" ht="66.599999999999994" thickBot="1" x14ac:dyDescent="0.3">
      <c r="A2" s="643" t="s">
        <v>19</v>
      </c>
      <c r="B2" s="644" t="s">
        <v>1444</v>
      </c>
      <c r="C2" s="645" t="s">
        <v>26</v>
      </c>
      <c r="D2" s="645" t="s">
        <v>11</v>
      </c>
      <c r="E2" s="646" t="s">
        <v>12</v>
      </c>
      <c r="F2" s="646" t="s">
        <v>13</v>
      </c>
      <c r="G2" s="646" t="s">
        <v>1484</v>
      </c>
      <c r="H2" s="647" t="s">
        <v>115</v>
      </c>
      <c r="I2" s="647" t="s">
        <v>1504</v>
      </c>
      <c r="J2" s="647" t="s">
        <v>1503</v>
      </c>
      <c r="K2" s="647" t="s">
        <v>67</v>
      </c>
      <c r="L2" s="648" t="s">
        <v>324</v>
      </c>
      <c r="M2" s="649" t="s">
        <v>20</v>
      </c>
      <c r="N2" s="650" t="s">
        <v>6</v>
      </c>
      <c r="O2" s="651" t="s">
        <v>7</v>
      </c>
      <c r="P2" s="652" t="s">
        <v>1481</v>
      </c>
      <c r="Q2" s="645" t="s">
        <v>1730</v>
      </c>
      <c r="R2" s="645" t="s">
        <v>1482</v>
      </c>
      <c r="S2" s="653" t="s">
        <v>1483</v>
      </c>
      <c r="T2" s="652" t="s">
        <v>1434</v>
      </c>
      <c r="U2" s="645" t="s">
        <v>1731</v>
      </c>
      <c r="V2" s="645" t="s">
        <v>1435</v>
      </c>
      <c r="W2" s="755" t="s">
        <v>1436</v>
      </c>
      <c r="X2" s="645" t="s">
        <v>1437</v>
      </c>
      <c r="Y2" s="645" t="s">
        <v>1732</v>
      </c>
      <c r="Z2" s="645" t="s">
        <v>1438</v>
      </c>
      <c r="AA2" s="653" t="s">
        <v>1439</v>
      </c>
      <c r="AB2" s="652" t="s">
        <v>1440</v>
      </c>
      <c r="AC2" s="645" t="s">
        <v>1733</v>
      </c>
      <c r="AD2" s="645" t="s">
        <v>1441</v>
      </c>
      <c r="AE2" s="653" t="s">
        <v>1443</v>
      </c>
      <c r="AF2" s="652" t="s">
        <v>1453</v>
      </c>
      <c r="AG2" s="654" t="s">
        <v>21</v>
      </c>
      <c r="AH2" s="654" t="s">
        <v>22</v>
      </c>
      <c r="AI2" s="654" t="s">
        <v>23</v>
      </c>
      <c r="AJ2" s="654" t="s">
        <v>24</v>
      </c>
      <c r="AK2" s="654" t="s">
        <v>25</v>
      </c>
      <c r="AL2" s="654" t="s">
        <v>1103</v>
      </c>
      <c r="AM2" s="654" t="s">
        <v>1104</v>
      </c>
      <c r="AN2" s="654" t="s">
        <v>1105</v>
      </c>
      <c r="AO2" s="655" t="s">
        <v>27</v>
      </c>
      <c r="AP2" s="655" t="s">
        <v>28</v>
      </c>
      <c r="AQ2" s="656" t="s">
        <v>29</v>
      </c>
    </row>
    <row r="3" spans="1:264" s="16" customFormat="1" ht="15.6" x14ac:dyDescent="0.3">
      <c r="A3" s="800" t="s">
        <v>2822</v>
      </c>
      <c r="B3" s="800"/>
      <c r="C3" s="800"/>
      <c r="D3" s="24"/>
      <c r="E3" s="21"/>
      <c r="H3" s="32"/>
      <c r="I3" s="32"/>
      <c r="J3" s="32"/>
      <c r="K3" s="32"/>
      <c r="L3" s="299"/>
      <c r="M3" s="6"/>
      <c r="N3" s="37"/>
      <c r="O3" s="228"/>
      <c r="P3" s="44"/>
      <c r="Q3" s="17"/>
      <c r="R3" s="17"/>
      <c r="S3" s="45"/>
      <c r="T3" s="44"/>
      <c r="U3" s="17"/>
      <c r="V3" s="17"/>
      <c r="W3" s="17"/>
      <c r="X3" s="757"/>
      <c r="Y3" s="17"/>
      <c r="Z3" s="17"/>
      <c r="AA3" s="764"/>
      <c r="AB3" s="17"/>
      <c r="AC3" s="17"/>
      <c r="AD3" s="17"/>
      <c r="AE3" s="764"/>
      <c r="AF3" s="35"/>
      <c r="AG3" s="22"/>
      <c r="AH3" s="22"/>
      <c r="AI3" s="22"/>
      <c r="AJ3" s="22"/>
      <c r="AK3" s="22"/>
      <c r="AL3" s="22"/>
      <c r="AN3" s="23"/>
    </row>
    <row r="4" spans="1:264" s="16" customFormat="1" x14ac:dyDescent="0.25">
      <c r="A4" s="16" t="s">
        <v>2652</v>
      </c>
      <c r="B4" s="298"/>
      <c r="C4" s="298" t="s">
        <v>2937</v>
      </c>
      <c r="E4" s="21" t="s">
        <v>2938</v>
      </c>
      <c r="F4" s="24" t="s">
        <v>110</v>
      </c>
      <c r="G4" s="16" t="s">
        <v>2797</v>
      </c>
      <c r="H4" s="725">
        <v>54269002176</v>
      </c>
      <c r="I4" s="269"/>
      <c r="J4" s="269"/>
      <c r="K4" s="30" t="s">
        <v>2659</v>
      </c>
      <c r="L4" s="299" t="s">
        <v>325</v>
      </c>
      <c r="M4" s="6">
        <v>119.99</v>
      </c>
      <c r="N4" s="37">
        <v>6</v>
      </c>
      <c r="O4" s="228">
        <v>24</v>
      </c>
      <c r="P4" s="44">
        <v>0.36</v>
      </c>
      <c r="Q4" s="17">
        <v>3.6</v>
      </c>
      <c r="R4" s="17">
        <v>2.4</v>
      </c>
      <c r="S4" s="17">
        <v>2.1</v>
      </c>
      <c r="T4" s="44">
        <v>0.56000000000000005</v>
      </c>
      <c r="U4" s="17">
        <v>5</v>
      </c>
      <c r="V4" s="17">
        <v>3.25</v>
      </c>
      <c r="W4" s="17">
        <v>6.75</v>
      </c>
      <c r="X4" s="757">
        <v>2.2000000000000002</v>
      </c>
      <c r="Y4" s="17">
        <v>10.5</v>
      </c>
      <c r="Z4" s="17">
        <v>7.25</v>
      </c>
      <c r="AA4" s="765">
        <v>5.5</v>
      </c>
      <c r="AB4" s="17">
        <v>10.35</v>
      </c>
      <c r="AC4" s="17">
        <v>15.25</v>
      </c>
      <c r="AD4" s="17">
        <v>11.5</v>
      </c>
      <c r="AE4" s="765">
        <v>12.38</v>
      </c>
      <c r="AF4" s="35">
        <f t="shared" ref="AF4:AF11" si="0">AC4*AD4*AE4/(12^3)</f>
        <v>1.2564482060185185</v>
      </c>
      <c r="AG4" s="22" t="s">
        <v>3110</v>
      </c>
      <c r="AH4" s="22" t="s">
        <v>2768</v>
      </c>
      <c r="AI4" s="22" t="s">
        <v>3111</v>
      </c>
      <c r="AJ4" s="42" t="s">
        <v>3112</v>
      </c>
      <c r="AK4" s="42" t="s">
        <v>2771</v>
      </c>
      <c r="AL4" s="22"/>
      <c r="AN4" s="23"/>
      <c r="AO4" s="16" t="s">
        <v>3113</v>
      </c>
    </row>
    <row r="5" spans="1:264" s="16" customFormat="1" x14ac:dyDescent="0.25">
      <c r="A5" s="16" t="s">
        <v>2652</v>
      </c>
      <c r="B5" s="298"/>
      <c r="C5" s="298" t="s">
        <v>2937</v>
      </c>
      <c r="E5" s="21" t="s">
        <v>2938</v>
      </c>
      <c r="F5" s="24" t="s">
        <v>50</v>
      </c>
      <c r="G5" s="16" t="s">
        <v>2797</v>
      </c>
      <c r="H5" s="725">
        <v>54269002282</v>
      </c>
      <c r="I5" s="269"/>
      <c r="J5" s="269"/>
      <c r="K5" s="30" t="s">
        <v>2659</v>
      </c>
      <c r="L5" s="299" t="s">
        <v>325</v>
      </c>
      <c r="M5" s="6">
        <v>119.99</v>
      </c>
      <c r="N5" s="37">
        <v>6</v>
      </c>
      <c r="O5" s="228">
        <v>24</v>
      </c>
      <c r="P5" s="44">
        <v>0.36</v>
      </c>
      <c r="Q5" s="17">
        <v>3.6</v>
      </c>
      <c r="R5" s="17">
        <v>2.4</v>
      </c>
      <c r="S5" s="17">
        <v>2.1</v>
      </c>
      <c r="T5" s="44">
        <v>0.56000000000000005</v>
      </c>
      <c r="U5" s="17">
        <v>5</v>
      </c>
      <c r="V5" s="17">
        <v>3.25</v>
      </c>
      <c r="W5" s="17">
        <v>6.75</v>
      </c>
      <c r="X5" s="757">
        <v>2.2000000000000002</v>
      </c>
      <c r="Y5" s="17">
        <v>10.5</v>
      </c>
      <c r="Z5" s="17">
        <v>7.25</v>
      </c>
      <c r="AA5" s="765">
        <v>5.5</v>
      </c>
      <c r="AB5" s="17">
        <v>10.35</v>
      </c>
      <c r="AC5" s="17">
        <v>15.25</v>
      </c>
      <c r="AD5" s="17">
        <v>11.5</v>
      </c>
      <c r="AE5" s="765">
        <v>12.38</v>
      </c>
      <c r="AF5" s="35">
        <f t="shared" si="0"/>
        <v>1.2564482060185185</v>
      </c>
      <c r="AG5" s="22" t="s">
        <v>3110</v>
      </c>
      <c r="AH5" s="22" t="s">
        <v>2768</v>
      </c>
      <c r="AI5" s="22"/>
      <c r="AJ5" s="42" t="s">
        <v>3112</v>
      </c>
      <c r="AK5" s="42" t="s">
        <v>2771</v>
      </c>
      <c r="AL5" s="22"/>
      <c r="AN5" s="23"/>
      <c r="AO5" s="16" t="s">
        <v>3113</v>
      </c>
    </row>
    <row r="6" spans="1:264" s="16" customFormat="1" x14ac:dyDescent="0.25">
      <c r="A6" s="16" t="s">
        <v>2652</v>
      </c>
      <c r="B6" s="298"/>
      <c r="C6" s="298" t="s">
        <v>2937</v>
      </c>
      <c r="E6" s="21" t="s">
        <v>2938</v>
      </c>
      <c r="F6" s="24" t="s">
        <v>534</v>
      </c>
      <c r="G6" s="16" t="s">
        <v>2797</v>
      </c>
      <c r="H6" s="725">
        <v>54269002381</v>
      </c>
      <c r="I6" s="269"/>
      <c r="J6" s="269"/>
      <c r="K6" s="30" t="s">
        <v>2659</v>
      </c>
      <c r="L6" s="299" t="s">
        <v>325</v>
      </c>
      <c r="M6" s="6">
        <v>119.99</v>
      </c>
      <c r="N6" s="37">
        <v>6</v>
      </c>
      <c r="O6" s="228">
        <v>24</v>
      </c>
      <c r="P6" s="44">
        <v>0.36</v>
      </c>
      <c r="Q6" s="17">
        <v>3.6</v>
      </c>
      <c r="R6" s="17">
        <v>2.4</v>
      </c>
      <c r="S6" s="17">
        <v>2.1</v>
      </c>
      <c r="T6" s="44">
        <v>0.56000000000000005</v>
      </c>
      <c r="U6" s="17">
        <v>5</v>
      </c>
      <c r="V6" s="17">
        <v>3.25</v>
      </c>
      <c r="W6" s="17">
        <v>6.75</v>
      </c>
      <c r="X6" s="757">
        <v>2.2000000000000002</v>
      </c>
      <c r="Y6" s="17">
        <v>10.5</v>
      </c>
      <c r="Z6" s="17">
        <v>7.25</v>
      </c>
      <c r="AA6" s="765">
        <v>5.5</v>
      </c>
      <c r="AB6" s="17">
        <v>10.35</v>
      </c>
      <c r="AC6" s="17">
        <v>15.25</v>
      </c>
      <c r="AD6" s="17">
        <v>11.5</v>
      </c>
      <c r="AE6" s="765">
        <v>12.38</v>
      </c>
      <c r="AF6" s="35">
        <f t="shared" si="0"/>
        <v>1.2564482060185185</v>
      </c>
      <c r="AG6" s="22" t="s">
        <v>3110</v>
      </c>
      <c r="AH6" s="22" t="s">
        <v>2768</v>
      </c>
      <c r="AI6" s="22"/>
      <c r="AJ6" s="42" t="s">
        <v>3112</v>
      </c>
      <c r="AK6" s="42" t="s">
        <v>2771</v>
      </c>
      <c r="AL6" s="22"/>
      <c r="AN6" s="23"/>
      <c r="AO6" s="16" t="s">
        <v>3113</v>
      </c>
    </row>
    <row r="7" spans="1:264" s="16" customFormat="1" x14ac:dyDescent="0.25">
      <c r="A7" s="16" t="s">
        <v>2652</v>
      </c>
      <c r="B7" s="141"/>
      <c r="C7" s="24" t="s">
        <v>2653</v>
      </c>
      <c r="D7" s="16" t="s">
        <v>2655</v>
      </c>
      <c r="E7" s="58" t="s">
        <v>2658</v>
      </c>
      <c r="F7" s="20" t="s">
        <v>2656</v>
      </c>
      <c r="G7" s="20" t="s">
        <v>2539</v>
      </c>
      <c r="H7" s="664">
        <v>54269001827</v>
      </c>
      <c r="I7" s="140"/>
      <c r="J7" s="140"/>
      <c r="K7" s="30" t="s">
        <v>2659</v>
      </c>
      <c r="L7" s="261" t="s">
        <v>325</v>
      </c>
      <c r="M7" s="7">
        <v>49.99</v>
      </c>
      <c r="N7" s="37">
        <v>6</v>
      </c>
      <c r="O7" s="228">
        <v>24</v>
      </c>
      <c r="P7" s="46">
        <v>0.23799999999999999</v>
      </c>
      <c r="Q7" s="35">
        <v>3.5</v>
      </c>
      <c r="R7" s="152">
        <v>1.25</v>
      </c>
      <c r="S7" s="35">
        <v>2.35</v>
      </c>
      <c r="T7" s="46">
        <v>0.34</v>
      </c>
      <c r="U7" s="35">
        <v>8.125</v>
      </c>
      <c r="V7" s="35">
        <v>5.88</v>
      </c>
      <c r="W7" s="35">
        <v>1.5</v>
      </c>
      <c r="X7" s="759">
        <v>2.2999999999999998</v>
      </c>
      <c r="Y7" s="35">
        <v>8.5</v>
      </c>
      <c r="Z7" s="35">
        <v>5.5</v>
      </c>
      <c r="AA7" s="767">
        <v>6.5</v>
      </c>
      <c r="AB7" s="35">
        <v>10</v>
      </c>
      <c r="AC7" s="35">
        <v>11.75</v>
      </c>
      <c r="AD7" s="35">
        <v>9.5</v>
      </c>
      <c r="AE7" s="767">
        <v>14.25</v>
      </c>
      <c r="AF7" s="35">
        <f t="shared" si="0"/>
        <v>0.92051866319444442</v>
      </c>
      <c r="AG7" s="723" t="s">
        <v>2767</v>
      </c>
      <c r="AH7" s="723" t="s">
        <v>2768</v>
      </c>
      <c r="AI7" s="723" t="s">
        <v>2769</v>
      </c>
      <c r="AJ7" s="723" t="s">
        <v>2770</v>
      </c>
      <c r="AK7" s="723" t="s">
        <v>2771</v>
      </c>
      <c r="AL7" s="169"/>
      <c r="AM7" s="169"/>
      <c r="AN7" s="169"/>
      <c r="AO7" s="723" t="s">
        <v>2766</v>
      </c>
      <c r="AP7" s="169"/>
      <c r="AQ7" s="160"/>
    </row>
    <row r="8" spans="1:264" s="16" customFormat="1" x14ac:dyDescent="0.25">
      <c r="A8" s="16" t="s">
        <v>2652</v>
      </c>
      <c r="B8" s="141"/>
      <c r="C8" s="24" t="s">
        <v>2653</v>
      </c>
      <c r="D8" s="16" t="s">
        <v>95</v>
      </c>
      <c r="E8" s="58" t="s">
        <v>2658</v>
      </c>
      <c r="F8" s="20" t="s">
        <v>111</v>
      </c>
      <c r="G8" s="20" t="s">
        <v>2539</v>
      </c>
      <c r="H8" s="664">
        <v>54269001926</v>
      </c>
      <c r="I8" s="140"/>
      <c r="J8" s="140"/>
      <c r="K8" s="30" t="s">
        <v>2659</v>
      </c>
      <c r="L8" s="261" t="s">
        <v>325</v>
      </c>
      <c r="M8" s="7">
        <v>49.99</v>
      </c>
      <c r="N8" s="37">
        <v>6</v>
      </c>
      <c r="O8" s="228">
        <v>24</v>
      </c>
      <c r="P8" s="46">
        <v>0.23799999999999999</v>
      </c>
      <c r="Q8" s="35">
        <v>3.5</v>
      </c>
      <c r="R8" s="152">
        <v>1.25</v>
      </c>
      <c r="S8" s="35">
        <v>2.35</v>
      </c>
      <c r="T8" s="46">
        <v>0.34</v>
      </c>
      <c r="U8" s="35">
        <v>8.125</v>
      </c>
      <c r="V8" s="35">
        <v>5.88</v>
      </c>
      <c r="W8" s="35">
        <v>1.5</v>
      </c>
      <c r="X8" s="759">
        <v>2.2999999999999998</v>
      </c>
      <c r="Y8" s="35">
        <v>8.5</v>
      </c>
      <c r="Z8" s="35">
        <v>5.5</v>
      </c>
      <c r="AA8" s="767">
        <v>6.5</v>
      </c>
      <c r="AB8" s="35">
        <v>10</v>
      </c>
      <c r="AC8" s="35">
        <v>11.75</v>
      </c>
      <c r="AD8" s="35">
        <v>9.5</v>
      </c>
      <c r="AE8" s="767">
        <v>14.25</v>
      </c>
      <c r="AF8" s="35">
        <f t="shared" si="0"/>
        <v>0.92051866319444442</v>
      </c>
      <c r="AG8" s="723" t="s">
        <v>2767</v>
      </c>
      <c r="AH8" s="723" t="s">
        <v>2768</v>
      </c>
      <c r="AI8" s="723" t="s">
        <v>2769</v>
      </c>
      <c r="AJ8" s="723" t="s">
        <v>2770</v>
      </c>
      <c r="AK8" s="723" t="s">
        <v>2771</v>
      </c>
      <c r="AL8" s="169"/>
      <c r="AM8" s="169"/>
      <c r="AN8" s="169"/>
      <c r="AO8" s="723" t="s">
        <v>2766</v>
      </c>
      <c r="AP8" s="169"/>
      <c r="AQ8" s="160"/>
    </row>
    <row r="9" spans="1:264" s="16" customFormat="1" x14ac:dyDescent="0.25">
      <c r="A9" s="16" t="s">
        <v>2652</v>
      </c>
      <c r="B9" s="141"/>
      <c r="C9" s="24" t="s">
        <v>2653</v>
      </c>
      <c r="D9" s="16" t="s">
        <v>92</v>
      </c>
      <c r="E9" s="58" t="s">
        <v>2658</v>
      </c>
      <c r="F9" s="20" t="s">
        <v>51</v>
      </c>
      <c r="G9" s="20" t="s">
        <v>2539</v>
      </c>
      <c r="H9" s="664">
        <v>54269001810</v>
      </c>
      <c r="I9" s="140"/>
      <c r="J9" s="140"/>
      <c r="K9" s="30" t="s">
        <v>2659</v>
      </c>
      <c r="L9" s="261" t="s">
        <v>325</v>
      </c>
      <c r="M9" s="7">
        <v>49.99</v>
      </c>
      <c r="N9" s="37">
        <v>6</v>
      </c>
      <c r="O9" s="228">
        <v>24</v>
      </c>
      <c r="P9" s="46">
        <v>0.23799999999999999</v>
      </c>
      <c r="Q9" s="35">
        <v>3.5</v>
      </c>
      <c r="R9" s="152">
        <v>1.25</v>
      </c>
      <c r="S9" s="35">
        <v>2.35</v>
      </c>
      <c r="T9" s="46">
        <v>0.34</v>
      </c>
      <c r="U9" s="35">
        <v>8.125</v>
      </c>
      <c r="V9" s="35">
        <v>5.88</v>
      </c>
      <c r="W9" s="35">
        <v>1.5</v>
      </c>
      <c r="X9" s="759">
        <v>2.2999999999999998</v>
      </c>
      <c r="Y9" s="35">
        <v>8.5</v>
      </c>
      <c r="Z9" s="35">
        <v>5.5</v>
      </c>
      <c r="AA9" s="767">
        <v>6.5</v>
      </c>
      <c r="AB9" s="35">
        <v>10</v>
      </c>
      <c r="AC9" s="35">
        <v>11.75</v>
      </c>
      <c r="AD9" s="35">
        <v>9.5</v>
      </c>
      <c r="AE9" s="767">
        <v>14.25</v>
      </c>
      <c r="AF9" s="35">
        <f t="shared" si="0"/>
        <v>0.92051866319444442</v>
      </c>
      <c r="AG9" s="723" t="s">
        <v>2767</v>
      </c>
      <c r="AH9" s="723" t="s">
        <v>2768</v>
      </c>
      <c r="AI9" s="723" t="s">
        <v>2769</v>
      </c>
      <c r="AJ9" s="723" t="s">
        <v>2770</v>
      </c>
      <c r="AK9" s="723" t="s">
        <v>2771</v>
      </c>
      <c r="AL9" s="169"/>
      <c r="AM9" s="169"/>
      <c r="AN9" s="169"/>
      <c r="AO9" s="723" t="s">
        <v>2766</v>
      </c>
      <c r="AP9" s="169"/>
      <c r="AQ9" s="160"/>
    </row>
    <row r="10" spans="1:264" s="16" customFormat="1" x14ac:dyDescent="0.25">
      <c r="A10" s="16" t="s">
        <v>2652</v>
      </c>
      <c r="B10" s="141"/>
      <c r="C10" s="24" t="s">
        <v>2653</v>
      </c>
      <c r="D10" s="16" t="s">
        <v>75</v>
      </c>
      <c r="E10" s="58" t="s">
        <v>2658</v>
      </c>
      <c r="F10" s="20" t="s">
        <v>83</v>
      </c>
      <c r="G10" s="20" t="s">
        <v>2539</v>
      </c>
      <c r="H10" s="664">
        <v>54269001834</v>
      </c>
      <c r="I10" s="140"/>
      <c r="J10" s="140"/>
      <c r="K10" s="30" t="s">
        <v>2659</v>
      </c>
      <c r="L10" s="261" t="s">
        <v>325</v>
      </c>
      <c r="M10" s="7">
        <v>49.99</v>
      </c>
      <c r="N10" s="37">
        <v>6</v>
      </c>
      <c r="O10" s="228">
        <v>24</v>
      </c>
      <c r="P10" s="46">
        <v>0.23799999999999999</v>
      </c>
      <c r="Q10" s="35">
        <v>3.5</v>
      </c>
      <c r="R10" s="152">
        <v>1.25</v>
      </c>
      <c r="S10" s="35">
        <v>2.35</v>
      </c>
      <c r="T10" s="46">
        <v>0.34</v>
      </c>
      <c r="U10" s="35">
        <v>8.125</v>
      </c>
      <c r="V10" s="35">
        <v>5.88</v>
      </c>
      <c r="W10" s="35">
        <v>1.5</v>
      </c>
      <c r="X10" s="759">
        <v>2.2999999999999998</v>
      </c>
      <c r="Y10" s="35">
        <v>8.5</v>
      </c>
      <c r="Z10" s="35">
        <v>5.5</v>
      </c>
      <c r="AA10" s="767">
        <v>6.5</v>
      </c>
      <c r="AB10" s="35">
        <v>10</v>
      </c>
      <c r="AC10" s="35">
        <v>11.75</v>
      </c>
      <c r="AD10" s="35">
        <v>9.5</v>
      </c>
      <c r="AE10" s="767">
        <v>14.25</v>
      </c>
      <c r="AF10" s="35">
        <f t="shared" si="0"/>
        <v>0.92051866319444442</v>
      </c>
      <c r="AG10" s="723" t="s">
        <v>2767</v>
      </c>
      <c r="AH10" s="723" t="s">
        <v>2768</v>
      </c>
      <c r="AI10" s="723" t="s">
        <v>2769</v>
      </c>
      <c r="AJ10" s="723" t="s">
        <v>2770</v>
      </c>
      <c r="AK10" s="723" t="s">
        <v>2771</v>
      </c>
      <c r="AL10" s="169"/>
      <c r="AM10" s="169"/>
      <c r="AN10" s="169"/>
      <c r="AO10" s="723" t="s">
        <v>2766</v>
      </c>
      <c r="AP10" s="169"/>
      <c r="AQ10" s="160"/>
    </row>
    <row r="11" spans="1:264" s="16" customFormat="1" x14ac:dyDescent="0.25">
      <c r="A11" s="16" t="s">
        <v>2652</v>
      </c>
      <c r="B11" s="141"/>
      <c r="C11" s="24" t="s">
        <v>2825</v>
      </c>
      <c r="E11" s="58" t="s">
        <v>2826</v>
      </c>
      <c r="F11" s="20"/>
      <c r="G11" s="20" t="s">
        <v>2827</v>
      </c>
      <c r="H11" s="664">
        <v>54269002060</v>
      </c>
      <c r="I11" s="140"/>
      <c r="J11" s="140"/>
      <c r="K11" s="30" t="s">
        <v>2659</v>
      </c>
      <c r="L11" s="261" t="s">
        <v>325</v>
      </c>
      <c r="M11" s="7">
        <v>49.99</v>
      </c>
      <c r="N11" s="37">
        <v>6</v>
      </c>
      <c r="O11" s="228">
        <v>24</v>
      </c>
      <c r="P11" s="46">
        <v>0.23799999999999999</v>
      </c>
      <c r="Q11" s="35">
        <v>3.5</v>
      </c>
      <c r="R11" s="152">
        <v>1.25</v>
      </c>
      <c r="S11" s="35">
        <v>2.35</v>
      </c>
      <c r="T11" s="46">
        <v>3</v>
      </c>
      <c r="U11" s="35">
        <v>9.25</v>
      </c>
      <c r="V11" s="35">
        <v>6</v>
      </c>
      <c r="W11" s="35">
        <v>8.33</v>
      </c>
      <c r="X11" s="759">
        <v>2.4</v>
      </c>
      <c r="Y11" s="35">
        <v>9.5</v>
      </c>
      <c r="Z11" s="35">
        <v>6</v>
      </c>
      <c r="AA11" s="767">
        <v>8.5</v>
      </c>
      <c r="AB11" s="35">
        <v>10.9</v>
      </c>
      <c r="AC11" s="35">
        <v>13</v>
      </c>
      <c r="AD11" s="35">
        <v>10.5</v>
      </c>
      <c r="AE11" s="767">
        <v>18.25</v>
      </c>
      <c r="AF11" s="35">
        <f t="shared" si="0"/>
        <v>1.4416232638888888</v>
      </c>
      <c r="AG11" s="723" t="s">
        <v>2767</v>
      </c>
      <c r="AH11" s="723" t="s">
        <v>2768</v>
      </c>
      <c r="AI11" s="723" t="s">
        <v>2769</v>
      </c>
      <c r="AJ11" s="723" t="s">
        <v>2770</v>
      </c>
      <c r="AK11" s="723" t="s">
        <v>2771</v>
      </c>
      <c r="AL11" s="169" t="s">
        <v>2830</v>
      </c>
      <c r="AM11" s="169"/>
      <c r="AN11" s="169"/>
      <c r="AO11" s="723" t="s">
        <v>2766</v>
      </c>
      <c r="AP11" s="169"/>
      <c r="AQ11" s="160"/>
    </row>
    <row r="13" spans="1:264" s="16" customFormat="1" x14ac:dyDescent="0.25">
      <c r="A13" s="16" t="s">
        <v>2652</v>
      </c>
      <c r="B13" s="141"/>
      <c r="C13" s="24" t="s">
        <v>2828</v>
      </c>
      <c r="E13" s="591" t="s">
        <v>2831</v>
      </c>
      <c r="F13" s="20" t="s">
        <v>111</v>
      </c>
      <c r="G13" s="20" t="s">
        <v>2833</v>
      </c>
      <c r="H13" s="664">
        <v>724937050012</v>
      </c>
      <c r="I13" s="140"/>
      <c r="J13" s="140"/>
      <c r="K13" s="30" t="s">
        <v>2659</v>
      </c>
      <c r="L13" s="261" t="s">
        <v>325</v>
      </c>
      <c r="M13" s="7">
        <v>22.99</v>
      </c>
      <c r="N13" s="37"/>
      <c r="O13" s="228">
        <v>30</v>
      </c>
      <c r="P13" s="46">
        <v>0.65</v>
      </c>
      <c r="Q13" s="35">
        <v>5.7</v>
      </c>
      <c r="R13" s="151">
        <v>2.2000000000000002</v>
      </c>
      <c r="S13" s="35">
        <v>3.5</v>
      </c>
      <c r="T13" s="46">
        <v>0.88</v>
      </c>
      <c r="U13" s="35">
        <v>7</v>
      </c>
      <c r="V13" s="35">
        <v>3.3</v>
      </c>
      <c r="W13" s="35">
        <v>7.5</v>
      </c>
      <c r="X13" s="758"/>
      <c r="Y13" s="135"/>
      <c r="Z13" s="135"/>
      <c r="AA13" s="766"/>
      <c r="AB13" s="135"/>
      <c r="AC13" s="135"/>
      <c r="AD13" s="135"/>
      <c r="AE13" s="766"/>
      <c r="AF13" s="135"/>
      <c r="AG13" s="723"/>
      <c r="AH13" s="723"/>
      <c r="AI13" s="723"/>
      <c r="AJ13" s="723"/>
      <c r="AK13" s="723"/>
      <c r="AL13" s="461"/>
      <c r="AM13" s="461"/>
      <c r="AN13" s="461"/>
      <c r="AO13" s="723"/>
      <c r="AP13" s="169"/>
      <c r="AQ13" s="160"/>
    </row>
    <row r="14" spans="1:264" s="16" customFormat="1" x14ac:dyDescent="0.25">
      <c r="A14" s="16" t="s">
        <v>2652</v>
      </c>
      <c r="B14" s="141"/>
      <c r="C14" s="24" t="s">
        <v>2829</v>
      </c>
      <c r="E14" s="591" t="s">
        <v>2832</v>
      </c>
      <c r="F14" s="20" t="s">
        <v>49</v>
      </c>
      <c r="G14" s="20" t="s">
        <v>1517</v>
      </c>
      <c r="H14" s="664">
        <v>855712000127</v>
      </c>
      <c r="I14" s="140"/>
      <c r="J14" s="140"/>
      <c r="K14" s="30" t="s">
        <v>2659</v>
      </c>
      <c r="L14" s="261" t="s">
        <v>325</v>
      </c>
      <c r="M14" s="7">
        <v>14.99</v>
      </c>
      <c r="N14" s="37"/>
      <c r="O14" s="228">
        <v>60</v>
      </c>
      <c r="P14" s="46">
        <v>0.4</v>
      </c>
      <c r="Q14" s="35">
        <v>4.7</v>
      </c>
      <c r="R14" s="151">
        <v>1.5</v>
      </c>
      <c r="S14" s="35">
        <v>3.5</v>
      </c>
      <c r="T14" s="46">
        <v>0.46</v>
      </c>
      <c r="U14" s="35">
        <v>5.0999999999999996</v>
      </c>
      <c r="V14" s="35">
        <v>2</v>
      </c>
      <c r="W14" s="35">
        <v>6.5</v>
      </c>
      <c r="X14" s="758"/>
      <c r="Y14" s="135"/>
      <c r="Z14" s="135"/>
      <c r="AA14" s="766"/>
      <c r="AB14" s="135"/>
      <c r="AC14" s="135"/>
      <c r="AD14" s="135"/>
      <c r="AE14" s="766"/>
      <c r="AF14" s="135"/>
      <c r="AG14" s="723"/>
      <c r="AH14" s="723"/>
      <c r="AI14" s="723"/>
      <c r="AJ14" s="723"/>
      <c r="AK14" s="723"/>
      <c r="AL14" s="461"/>
      <c r="AM14" s="461"/>
      <c r="AN14" s="461"/>
      <c r="AO14" s="723"/>
      <c r="AP14" s="169"/>
      <c r="AQ14" s="160"/>
    </row>
    <row r="15" spans="1:264" s="20" customFormat="1" ht="15.6" x14ac:dyDescent="0.3">
      <c r="A15" s="108" t="s">
        <v>2823</v>
      </c>
      <c r="B15" s="104"/>
      <c r="C15" s="21"/>
      <c r="E15" s="58"/>
      <c r="H15" s="664"/>
      <c r="I15" s="30"/>
      <c r="J15" s="30"/>
      <c r="K15" s="30"/>
      <c r="L15" s="261"/>
      <c r="M15" s="7"/>
      <c r="N15" s="37"/>
      <c r="O15" s="228"/>
      <c r="P15" s="46"/>
      <c r="Q15" s="35"/>
      <c r="R15" s="35"/>
      <c r="S15" s="152"/>
      <c r="T15" s="46"/>
      <c r="U15" s="35"/>
      <c r="V15" s="35"/>
      <c r="W15" s="35"/>
      <c r="X15" s="759"/>
      <c r="Y15" s="35"/>
      <c r="Z15" s="35"/>
      <c r="AA15" s="767"/>
      <c r="AB15" s="35"/>
      <c r="AC15" s="35"/>
      <c r="AD15" s="35"/>
      <c r="AE15" s="767"/>
      <c r="AF15" s="35"/>
      <c r="AG15" s="169"/>
      <c r="AH15" s="169"/>
      <c r="AI15" s="169"/>
      <c r="AJ15" s="169"/>
      <c r="AK15" s="169"/>
      <c r="AL15" s="169"/>
      <c r="AM15" s="169"/>
      <c r="AN15" s="169"/>
      <c r="AO15" s="169"/>
      <c r="AP15" s="169"/>
      <c r="AQ15" s="160"/>
    </row>
    <row r="16" spans="1:264" s="92" customFormat="1" x14ac:dyDescent="0.25">
      <c r="A16" s="20" t="s">
        <v>2652</v>
      </c>
      <c r="B16" s="372"/>
      <c r="C16" s="24" t="s">
        <v>2654</v>
      </c>
      <c r="D16" s="39"/>
      <c r="E16" s="58" t="s">
        <v>2660</v>
      </c>
      <c r="F16" s="20" t="s">
        <v>111</v>
      </c>
      <c r="G16" s="20" t="s">
        <v>2802</v>
      </c>
      <c r="H16" s="664">
        <v>54269001919</v>
      </c>
      <c r="I16" s="140"/>
      <c r="J16" s="140"/>
      <c r="K16" s="30" t="s">
        <v>2659</v>
      </c>
      <c r="L16" s="261" t="s">
        <v>325</v>
      </c>
      <c r="M16" s="7">
        <v>349</v>
      </c>
      <c r="N16" s="37">
        <v>3</v>
      </c>
      <c r="O16" s="228">
        <v>12</v>
      </c>
      <c r="P16" s="46">
        <v>0.4375</v>
      </c>
      <c r="Q16" s="35">
        <v>3.15</v>
      </c>
      <c r="R16" s="152">
        <v>1.97</v>
      </c>
      <c r="S16" s="35">
        <v>2.76</v>
      </c>
      <c r="T16" s="46">
        <v>0.86850000000000005</v>
      </c>
      <c r="U16" s="35">
        <v>4.25</v>
      </c>
      <c r="V16" s="35">
        <v>4.25</v>
      </c>
      <c r="W16" s="35">
        <v>7.25</v>
      </c>
      <c r="X16" s="759">
        <v>3.7</v>
      </c>
      <c r="Y16" s="35">
        <v>13.5</v>
      </c>
      <c r="Z16" s="35">
        <v>5</v>
      </c>
      <c r="AA16" s="767">
        <v>8.25</v>
      </c>
      <c r="AB16" s="35">
        <v>16.3</v>
      </c>
      <c r="AC16" s="35">
        <v>14</v>
      </c>
      <c r="AD16" s="35">
        <v>20.5</v>
      </c>
      <c r="AE16" s="767">
        <v>9.25</v>
      </c>
      <c r="AF16" s="35">
        <f>AC16*AD16*AE16/(12^3)</f>
        <v>1.5363136574074074</v>
      </c>
      <c r="AG16" s="641" t="s">
        <v>2772</v>
      </c>
      <c r="AH16" s="774" t="s">
        <v>2773</v>
      </c>
      <c r="AI16" s="642" t="s">
        <v>2776</v>
      </c>
      <c r="AJ16" s="84" t="s">
        <v>2774</v>
      </c>
      <c r="AK16" s="84" t="s">
        <v>2775</v>
      </c>
      <c r="AL16" s="39"/>
      <c r="AM16" s="39"/>
      <c r="AN16" s="39"/>
      <c r="AO16" s="723" t="s">
        <v>2777</v>
      </c>
      <c r="AP16" s="39"/>
      <c r="AQ16" s="39"/>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row>
    <row r="17" spans="1:264" s="92" customFormat="1" x14ac:dyDescent="0.25">
      <c r="A17" s="20" t="s">
        <v>2652</v>
      </c>
      <c r="B17" s="141"/>
      <c r="C17" s="24" t="s">
        <v>2657</v>
      </c>
      <c r="D17" s="39"/>
      <c r="E17" s="591" t="s">
        <v>2661</v>
      </c>
      <c r="F17" s="20" t="s">
        <v>187</v>
      </c>
      <c r="G17" s="20" t="s">
        <v>2802</v>
      </c>
      <c r="H17" s="664">
        <v>54269001902</v>
      </c>
      <c r="I17" s="140"/>
      <c r="J17" s="140"/>
      <c r="K17" s="30" t="s">
        <v>2659</v>
      </c>
      <c r="L17" s="261" t="s">
        <v>325</v>
      </c>
      <c r="M17" s="7">
        <v>249</v>
      </c>
      <c r="N17" s="37">
        <v>3</v>
      </c>
      <c r="O17" s="228">
        <v>12</v>
      </c>
      <c r="P17" s="46">
        <v>0.42499999999999999</v>
      </c>
      <c r="Q17" s="35">
        <v>3.15</v>
      </c>
      <c r="R17" s="35">
        <v>1.97</v>
      </c>
      <c r="S17" s="152">
        <v>2.76</v>
      </c>
      <c r="T17" s="46">
        <v>0.86</v>
      </c>
      <c r="U17" s="35">
        <v>4.25</v>
      </c>
      <c r="V17" s="35">
        <v>4.25</v>
      </c>
      <c r="W17" s="35">
        <v>7.25</v>
      </c>
      <c r="X17" s="759">
        <v>3.8</v>
      </c>
      <c r="Y17" s="35">
        <v>14</v>
      </c>
      <c r="Z17" s="35">
        <v>5.25</v>
      </c>
      <c r="AA17" s="767">
        <v>8.25</v>
      </c>
      <c r="AB17" s="135"/>
      <c r="AC17" s="135"/>
      <c r="AD17" s="135"/>
      <c r="AE17" s="766"/>
      <c r="AF17" s="135">
        <f>AC17*AD17*AE17/(12^3)</f>
        <v>0</v>
      </c>
      <c r="AG17" s="84" t="s">
        <v>2772</v>
      </c>
      <c r="AH17" s="774" t="s">
        <v>2773</v>
      </c>
      <c r="AI17" s="84" t="s">
        <v>2779</v>
      </c>
      <c r="AJ17" s="84" t="s">
        <v>2780</v>
      </c>
      <c r="AK17" s="84" t="s">
        <v>2775</v>
      </c>
      <c r="AL17" s="39"/>
      <c r="AM17" s="39"/>
      <c r="AN17" s="39"/>
      <c r="AO17" s="54" t="s">
        <v>2778</v>
      </c>
      <c r="AP17" s="39"/>
      <c r="AQ17" s="39"/>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c r="IW17" s="22"/>
      <c r="IX17" s="22"/>
      <c r="IY17" s="22"/>
      <c r="IZ17" s="22"/>
      <c r="JA17" s="22"/>
      <c r="JB17" s="22"/>
      <c r="JC17" s="22"/>
      <c r="JD17" s="22"/>
    </row>
    <row r="18" spans="1:264" s="92" customFormat="1" x14ac:dyDescent="0.25">
      <c r="A18" s="20" t="s">
        <v>2652</v>
      </c>
      <c r="B18" s="22"/>
      <c r="C18" s="24" t="s">
        <v>2796</v>
      </c>
      <c r="D18" s="39"/>
      <c r="E18" s="591" t="s">
        <v>2795</v>
      </c>
      <c r="F18" s="22" t="s">
        <v>111</v>
      </c>
      <c r="G18" s="22" t="s">
        <v>2797</v>
      </c>
      <c r="H18" s="663">
        <v>814002011793</v>
      </c>
      <c r="I18" s="178"/>
      <c r="J18" s="178"/>
      <c r="K18" s="30" t="s">
        <v>2659</v>
      </c>
      <c r="L18" s="47" t="s">
        <v>325</v>
      </c>
      <c r="M18" s="7">
        <v>299</v>
      </c>
      <c r="N18" s="39"/>
      <c r="O18" s="42">
        <v>18</v>
      </c>
      <c r="P18" s="35">
        <v>0.45600000000000002</v>
      </c>
      <c r="Q18" s="35">
        <v>3.3</v>
      </c>
      <c r="R18" s="35">
        <v>2.4</v>
      </c>
      <c r="S18" s="92">
        <v>2.8</v>
      </c>
      <c r="T18" s="35">
        <v>1.4</v>
      </c>
      <c r="U18" s="35">
        <v>5.0999999999999996</v>
      </c>
      <c r="V18" s="35">
        <v>5.0999999999999996</v>
      </c>
      <c r="W18" s="28">
        <v>7.4</v>
      </c>
      <c r="X18" s="760"/>
      <c r="Y18" s="178"/>
      <c r="Z18" s="178"/>
      <c r="AA18" s="768"/>
      <c r="AB18" s="403"/>
      <c r="AC18" s="178"/>
      <c r="AD18" s="178"/>
      <c r="AE18" s="768"/>
      <c r="AF18" s="403"/>
      <c r="AG18" s="178"/>
      <c r="AH18" s="178"/>
      <c r="AI18" s="178"/>
      <c r="AJ18" s="178"/>
      <c r="AK18" s="178"/>
      <c r="AL18" s="39"/>
      <c r="AM18" s="39"/>
      <c r="AN18" s="39"/>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row>
    <row r="19" spans="1:264" s="92" customFormat="1" x14ac:dyDescent="0.25">
      <c r="A19" s="20" t="s">
        <v>2652</v>
      </c>
      <c r="B19" s="22"/>
      <c r="C19" s="24" t="s">
        <v>2798</v>
      </c>
      <c r="D19" s="39"/>
      <c r="E19" s="591" t="s">
        <v>2799</v>
      </c>
      <c r="F19" s="22" t="s">
        <v>187</v>
      </c>
      <c r="G19" s="22" t="s">
        <v>2797</v>
      </c>
      <c r="H19" s="662">
        <v>814002011908</v>
      </c>
      <c r="I19" s="178"/>
      <c r="J19" s="178"/>
      <c r="K19" s="30" t="s">
        <v>2659</v>
      </c>
      <c r="L19" s="47" t="s">
        <v>325</v>
      </c>
      <c r="M19" s="658">
        <v>219</v>
      </c>
      <c r="N19" s="39"/>
      <c r="O19" s="42">
        <v>20</v>
      </c>
      <c r="P19" s="659">
        <v>0.39400000000000002</v>
      </c>
      <c r="Q19" s="660">
        <v>2.8</v>
      </c>
      <c r="R19" s="660">
        <v>3.3</v>
      </c>
      <c r="S19" s="660">
        <v>2.4</v>
      </c>
      <c r="T19" s="661">
        <v>1.04</v>
      </c>
      <c r="U19" s="661">
        <v>6.8</v>
      </c>
      <c r="V19" s="661">
        <v>3.3</v>
      </c>
      <c r="W19" s="661">
        <v>5</v>
      </c>
      <c r="X19" s="760"/>
      <c r="Y19" s="178"/>
      <c r="Z19" s="178"/>
      <c r="AA19" s="768"/>
      <c r="AB19" s="403"/>
      <c r="AC19" s="178"/>
      <c r="AD19" s="178"/>
      <c r="AE19" s="768"/>
      <c r="AF19" s="403"/>
      <c r="AG19" s="178"/>
      <c r="AH19" s="178"/>
      <c r="AI19" s="178"/>
      <c r="AJ19" s="178"/>
      <c r="AK19" s="178"/>
      <c r="AL19" s="39"/>
      <c r="AM19" s="39"/>
      <c r="AN19" s="39"/>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c r="IW19" s="22"/>
      <c r="IX19" s="22"/>
      <c r="IY19" s="22"/>
      <c r="IZ19" s="22"/>
      <c r="JA19" s="22"/>
      <c r="JB19" s="22"/>
      <c r="JC19" s="22"/>
      <c r="JD19" s="22"/>
    </row>
    <row r="20" spans="1:264" s="92" customFormat="1" x14ac:dyDescent="0.25">
      <c r="A20" s="20" t="s">
        <v>2652</v>
      </c>
      <c r="B20" s="39"/>
      <c r="C20" s="24" t="s">
        <v>2730</v>
      </c>
      <c r="D20" s="39"/>
      <c r="E20" s="591" t="s">
        <v>2736</v>
      </c>
      <c r="F20" s="39"/>
      <c r="G20" s="178"/>
      <c r="H20" s="65">
        <v>54269002145</v>
      </c>
      <c r="I20" s="178"/>
      <c r="J20" s="178"/>
      <c r="K20" s="296" t="s">
        <v>2939</v>
      </c>
      <c r="L20" s="261" t="s">
        <v>325</v>
      </c>
      <c r="M20" s="7">
        <v>14.99</v>
      </c>
      <c r="N20" s="39"/>
      <c r="O20" s="37">
        <v>10</v>
      </c>
      <c r="P20" s="135"/>
      <c r="Q20" s="35">
        <v>2.13</v>
      </c>
      <c r="R20" s="35">
        <v>1.48</v>
      </c>
      <c r="S20" s="91">
        <v>0.4</v>
      </c>
      <c r="T20" s="403"/>
      <c r="U20" s="178"/>
      <c r="V20" s="178"/>
      <c r="W20" s="403"/>
      <c r="X20" s="760"/>
      <c r="Y20" s="178"/>
      <c r="Z20" s="178"/>
      <c r="AA20" s="768"/>
      <c r="AB20" s="403"/>
      <c r="AC20" s="178"/>
      <c r="AD20" s="178"/>
      <c r="AE20" s="768"/>
      <c r="AF20" s="403"/>
      <c r="AG20" s="178"/>
      <c r="AH20" s="178"/>
      <c r="AI20" s="178"/>
      <c r="AJ20" s="178"/>
      <c r="AK20" s="178"/>
      <c r="AL20" s="39"/>
      <c r="AM20" s="39"/>
      <c r="AN20" s="39"/>
      <c r="AO20" s="178"/>
      <c r="AP20" s="178"/>
      <c r="AQ20" s="178"/>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c r="IW20" s="22"/>
      <c r="IX20" s="22"/>
      <c r="IY20" s="22"/>
      <c r="IZ20" s="22"/>
      <c r="JA20" s="22"/>
      <c r="JB20" s="22"/>
      <c r="JC20" s="22"/>
      <c r="JD20" s="22"/>
    </row>
    <row r="21" spans="1:264" s="92" customFormat="1" ht="15.6" x14ac:dyDescent="0.3">
      <c r="A21" s="800" t="s">
        <v>2824</v>
      </c>
      <c r="B21" s="800"/>
      <c r="C21" s="24"/>
      <c r="D21" s="58"/>
      <c r="F21" s="22"/>
      <c r="G21" s="22"/>
      <c r="H21" s="662"/>
      <c r="I21" s="22"/>
      <c r="J21" s="22"/>
      <c r="K21" s="30"/>
      <c r="L21" s="47"/>
      <c r="M21" s="658"/>
      <c r="N21" s="39"/>
      <c r="O21" s="42"/>
      <c r="P21" s="659"/>
      <c r="Q21" s="660"/>
      <c r="R21" s="660"/>
      <c r="S21" s="660"/>
      <c r="T21" s="661"/>
      <c r="U21" s="661"/>
      <c r="V21" s="661"/>
      <c r="W21" s="661"/>
      <c r="X21" s="761"/>
      <c r="Y21" s="22"/>
      <c r="Z21" s="22"/>
      <c r="AA21" s="769"/>
      <c r="AB21" s="28"/>
      <c r="AC21" s="22"/>
      <c r="AD21" s="22"/>
      <c r="AE21" s="769"/>
      <c r="AF21" s="28"/>
      <c r="AG21" s="22"/>
      <c r="AH21" s="22"/>
      <c r="AI21" s="22"/>
      <c r="AJ21" s="22"/>
      <c r="AK21" s="22"/>
      <c r="AL21" s="39"/>
      <c r="AM21" s="39"/>
      <c r="AN21" s="39"/>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row>
    <row r="22" spans="1:264" s="742" customFormat="1" x14ac:dyDescent="0.25">
      <c r="A22" s="732" t="s">
        <v>2652</v>
      </c>
      <c r="B22" s="733"/>
      <c r="C22" s="734" t="s">
        <v>2800</v>
      </c>
      <c r="D22" s="733"/>
      <c r="E22" s="735" t="s">
        <v>2801</v>
      </c>
      <c r="F22" s="733" t="s">
        <v>187</v>
      </c>
      <c r="G22" s="733" t="s">
        <v>2797</v>
      </c>
      <c r="H22" s="736">
        <v>814002011809</v>
      </c>
      <c r="I22" s="733"/>
      <c r="J22" s="733"/>
      <c r="K22" s="737" t="s">
        <v>2940</v>
      </c>
      <c r="L22" s="735" t="s">
        <v>325</v>
      </c>
      <c r="M22" s="738">
        <v>299</v>
      </c>
      <c r="N22" s="733"/>
      <c r="O22" s="739">
        <v>20</v>
      </c>
      <c r="P22" s="740">
        <v>0.39400000000000002</v>
      </c>
      <c r="Q22" s="741">
        <v>2.8</v>
      </c>
      <c r="R22" s="741">
        <v>3.3</v>
      </c>
      <c r="S22" s="741">
        <v>2.4</v>
      </c>
      <c r="T22" s="741">
        <v>1.04</v>
      </c>
      <c r="U22" s="741">
        <v>6.8</v>
      </c>
      <c r="V22" s="741">
        <v>3.3</v>
      </c>
      <c r="W22" s="741">
        <v>5</v>
      </c>
      <c r="X22" s="762"/>
      <c r="Y22" s="733"/>
      <c r="Z22" s="733"/>
      <c r="AA22" s="770"/>
      <c r="AB22" s="739"/>
      <c r="AC22" s="733"/>
      <c r="AD22" s="733"/>
      <c r="AE22" s="770"/>
      <c r="AF22" s="739"/>
      <c r="AG22" s="733"/>
      <c r="AH22" s="733"/>
      <c r="AI22" s="733"/>
      <c r="AJ22" s="733"/>
      <c r="AK22" s="733"/>
      <c r="AL22" s="733"/>
      <c r="AM22" s="733"/>
      <c r="AN22" s="733"/>
      <c r="AO22" s="733"/>
      <c r="AP22" s="733"/>
      <c r="AQ22" s="733"/>
      <c r="AR22" s="733"/>
      <c r="AS22" s="733"/>
      <c r="AT22" s="733"/>
      <c r="AU22" s="733"/>
      <c r="AV22" s="733"/>
      <c r="AW22" s="733"/>
      <c r="AX22" s="733"/>
      <c r="AY22" s="733"/>
      <c r="AZ22" s="733"/>
      <c r="BA22" s="733"/>
      <c r="BB22" s="733"/>
      <c r="BC22" s="733"/>
      <c r="BD22" s="733"/>
      <c r="BE22" s="733"/>
      <c r="BF22" s="733"/>
      <c r="BG22" s="733"/>
      <c r="BH22" s="733"/>
      <c r="BI22" s="733"/>
      <c r="BJ22" s="733"/>
      <c r="BK22" s="733"/>
      <c r="BL22" s="733"/>
      <c r="BM22" s="733"/>
      <c r="BN22" s="733"/>
      <c r="BO22" s="733"/>
      <c r="BP22" s="733"/>
      <c r="BQ22" s="733"/>
      <c r="BR22" s="733"/>
      <c r="BS22" s="733"/>
      <c r="BT22" s="733"/>
      <c r="BU22" s="733"/>
      <c r="BV22" s="733"/>
      <c r="BW22" s="733"/>
      <c r="BX22" s="733"/>
      <c r="BY22" s="733"/>
      <c r="BZ22" s="733"/>
      <c r="CA22" s="733"/>
      <c r="CB22" s="733"/>
      <c r="CC22" s="733"/>
      <c r="CD22" s="733"/>
      <c r="CE22" s="733"/>
      <c r="CF22" s="733"/>
      <c r="CG22" s="733"/>
      <c r="CH22" s="733"/>
      <c r="CI22" s="733"/>
      <c r="CJ22" s="733"/>
      <c r="CK22" s="733"/>
      <c r="CL22" s="733"/>
      <c r="CM22" s="733"/>
      <c r="CN22" s="733"/>
      <c r="CO22" s="733"/>
      <c r="CP22" s="733"/>
      <c r="CQ22" s="733"/>
      <c r="CR22" s="733"/>
      <c r="CS22" s="733"/>
      <c r="CT22" s="733"/>
      <c r="CU22" s="733"/>
      <c r="CV22" s="733"/>
      <c r="CW22" s="733"/>
      <c r="CX22" s="733"/>
      <c r="CY22" s="733"/>
      <c r="CZ22" s="733"/>
      <c r="DA22" s="733"/>
      <c r="DB22" s="733"/>
      <c r="DC22" s="733"/>
      <c r="DD22" s="733"/>
      <c r="DE22" s="733"/>
      <c r="DF22" s="733"/>
      <c r="DG22" s="733"/>
      <c r="DH22" s="733"/>
      <c r="DI22" s="733"/>
      <c r="DJ22" s="733"/>
      <c r="DK22" s="733"/>
      <c r="DL22" s="733"/>
      <c r="DM22" s="733"/>
      <c r="DN22" s="733"/>
      <c r="DO22" s="733"/>
      <c r="DP22" s="733"/>
      <c r="DQ22" s="733"/>
      <c r="DR22" s="733"/>
      <c r="DS22" s="733"/>
      <c r="DT22" s="733"/>
      <c r="DU22" s="733"/>
      <c r="DV22" s="733"/>
      <c r="DW22" s="733"/>
      <c r="DX22" s="733"/>
      <c r="DY22" s="733"/>
      <c r="DZ22" s="733"/>
      <c r="EA22" s="733"/>
      <c r="EB22" s="733"/>
      <c r="EC22" s="733"/>
      <c r="ED22" s="733"/>
      <c r="EE22" s="733"/>
      <c r="EF22" s="733"/>
      <c r="EG22" s="733"/>
      <c r="EH22" s="733"/>
      <c r="EI22" s="733"/>
      <c r="EJ22" s="733"/>
      <c r="EK22" s="733"/>
      <c r="EL22" s="733"/>
      <c r="EM22" s="733"/>
      <c r="EN22" s="733"/>
      <c r="EO22" s="733"/>
      <c r="EP22" s="733"/>
      <c r="EQ22" s="733"/>
      <c r="ER22" s="733"/>
      <c r="ES22" s="733"/>
      <c r="ET22" s="733"/>
      <c r="EU22" s="733"/>
      <c r="EV22" s="733"/>
      <c r="EW22" s="733"/>
      <c r="EX22" s="733"/>
      <c r="EY22" s="733"/>
      <c r="EZ22" s="733"/>
      <c r="FA22" s="733"/>
      <c r="FB22" s="733"/>
      <c r="FC22" s="733"/>
      <c r="FD22" s="733"/>
      <c r="FE22" s="733"/>
      <c r="FF22" s="733"/>
      <c r="FG22" s="733"/>
      <c r="FH22" s="733"/>
      <c r="FI22" s="733"/>
      <c r="FJ22" s="733"/>
      <c r="FK22" s="733"/>
      <c r="FL22" s="733"/>
      <c r="FM22" s="733"/>
      <c r="FN22" s="733"/>
      <c r="FO22" s="733"/>
      <c r="FP22" s="733"/>
      <c r="FQ22" s="733"/>
      <c r="FR22" s="733"/>
      <c r="FS22" s="733"/>
      <c r="FT22" s="733"/>
      <c r="FU22" s="733"/>
      <c r="FV22" s="733"/>
      <c r="FW22" s="733"/>
      <c r="FX22" s="733"/>
      <c r="FY22" s="733"/>
      <c r="FZ22" s="733"/>
      <c r="GA22" s="733"/>
      <c r="GB22" s="733"/>
      <c r="GC22" s="733"/>
      <c r="GD22" s="733"/>
      <c r="GE22" s="733"/>
      <c r="GF22" s="733"/>
      <c r="GG22" s="733"/>
      <c r="GH22" s="733"/>
      <c r="GI22" s="733"/>
      <c r="GJ22" s="733"/>
      <c r="GK22" s="733"/>
      <c r="GL22" s="733"/>
      <c r="GM22" s="733"/>
      <c r="GN22" s="733"/>
      <c r="GO22" s="733"/>
      <c r="GP22" s="733"/>
      <c r="GQ22" s="733"/>
      <c r="GR22" s="733"/>
      <c r="GS22" s="733"/>
      <c r="GT22" s="733"/>
      <c r="GU22" s="733"/>
      <c r="GV22" s="733"/>
      <c r="GW22" s="733"/>
      <c r="GX22" s="733"/>
      <c r="GY22" s="733"/>
      <c r="GZ22" s="733"/>
      <c r="HA22" s="733"/>
      <c r="HB22" s="733"/>
      <c r="HC22" s="733"/>
      <c r="HD22" s="733"/>
      <c r="HE22" s="733"/>
      <c r="HF22" s="733"/>
      <c r="HG22" s="733"/>
      <c r="HH22" s="733"/>
      <c r="HI22" s="733"/>
      <c r="HJ22" s="733"/>
      <c r="HK22" s="733"/>
      <c r="HL22" s="733"/>
      <c r="HM22" s="733"/>
      <c r="HN22" s="733"/>
      <c r="HO22" s="733"/>
      <c r="HP22" s="733"/>
      <c r="HQ22" s="733"/>
      <c r="HR22" s="733"/>
      <c r="HS22" s="733"/>
      <c r="HT22" s="733"/>
      <c r="HU22" s="733"/>
      <c r="HV22" s="733"/>
      <c r="HW22" s="733"/>
      <c r="HX22" s="733"/>
      <c r="HY22" s="733"/>
      <c r="HZ22" s="733"/>
      <c r="IA22" s="733"/>
      <c r="IB22" s="733"/>
      <c r="IC22" s="733"/>
      <c r="ID22" s="733"/>
      <c r="IE22" s="733"/>
      <c r="IF22" s="733"/>
      <c r="IG22" s="733"/>
      <c r="IH22" s="733"/>
      <c r="II22" s="733"/>
      <c r="IJ22" s="733"/>
      <c r="IK22" s="733"/>
      <c r="IL22" s="733"/>
      <c r="IM22" s="733"/>
      <c r="IN22" s="733"/>
      <c r="IO22" s="733"/>
      <c r="IP22" s="733"/>
      <c r="IQ22" s="733"/>
      <c r="IR22" s="733"/>
      <c r="IS22" s="733"/>
      <c r="IT22" s="733"/>
      <c r="IU22" s="733"/>
      <c r="IV22" s="733"/>
      <c r="IW22" s="733"/>
      <c r="IX22" s="733"/>
      <c r="IY22" s="733"/>
      <c r="IZ22" s="733"/>
      <c r="JA22" s="733"/>
      <c r="JB22" s="733"/>
      <c r="JC22" s="733"/>
      <c r="JD22" s="733"/>
    </row>
    <row r="23" spans="1:264" s="742" customFormat="1" x14ac:dyDescent="0.25">
      <c r="A23" s="732" t="s">
        <v>2652</v>
      </c>
      <c r="B23" s="733"/>
      <c r="C23" s="743" t="s">
        <v>2803</v>
      </c>
      <c r="D23" s="739"/>
      <c r="E23" s="744" t="s">
        <v>2817</v>
      </c>
      <c r="F23" s="739"/>
      <c r="G23" s="739" t="s">
        <v>2820</v>
      </c>
      <c r="H23" s="736">
        <v>814002012028</v>
      </c>
      <c r="I23" s="733"/>
      <c r="J23" s="733"/>
      <c r="K23" s="737" t="s">
        <v>289</v>
      </c>
      <c r="L23" s="735" t="s">
        <v>325</v>
      </c>
      <c r="M23" s="738">
        <v>89.99</v>
      </c>
      <c r="N23" s="733"/>
      <c r="O23" s="739">
        <v>4</v>
      </c>
      <c r="P23" s="745">
        <v>3.2</v>
      </c>
      <c r="Q23" s="745">
        <v>6.3</v>
      </c>
      <c r="R23" s="745">
        <v>6.3</v>
      </c>
      <c r="S23" s="745">
        <v>3.7</v>
      </c>
      <c r="T23" s="745">
        <v>3.2</v>
      </c>
      <c r="U23" s="745">
        <v>6.3</v>
      </c>
      <c r="V23" s="745">
        <v>6.3</v>
      </c>
      <c r="W23" s="756">
        <v>3.7</v>
      </c>
      <c r="X23" s="762"/>
      <c r="Y23" s="733"/>
      <c r="Z23" s="733"/>
      <c r="AA23" s="770"/>
      <c r="AB23" s="739"/>
      <c r="AC23" s="733"/>
      <c r="AD23" s="733"/>
      <c r="AE23" s="770"/>
      <c r="AF23" s="739"/>
      <c r="AG23" s="733"/>
      <c r="AH23" s="733"/>
      <c r="AI23" s="733"/>
      <c r="AJ23" s="733"/>
      <c r="AK23" s="733"/>
      <c r="AL23" s="733"/>
      <c r="AM23" s="733"/>
      <c r="AN23" s="733"/>
      <c r="AO23" s="733"/>
      <c r="AP23" s="733"/>
      <c r="AQ23" s="733"/>
      <c r="AR23" s="733"/>
      <c r="AS23" s="733"/>
      <c r="AT23" s="733"/>
      <c r="AU23" s="733"/>
      <c r="AV23" s="733"/>
      <c r="AW23" s="733"/>
      <c r="AX23" s="733"/>
      <c r="AY23" s="733"/>
      <c r="AZ23" s="733"/>
      <c r="BA23" s="733"/>
      <c r="BB23" s="733"/>
      <c r="BC23" s="733"/>
      <c r="BD23" s="733"/>
      <c r="BE23" s="733"/>
      <c r="BF23" s="733"/>
      <c r="BG23" s="733"/>
      <c r="BH23" s="733"/>
      <c r="BI23" s="733"/>
      <c r="BJ23" s="733"/>
      <c r="BK23" s="733"/>
      <c r="BL23" s="733"/>
      <c r="BM23" s="733"/>
      <c r="BN23" s="733"/>
      <c r="BO23" s="733"/>
      <c r="BP23" s="733"/>
      <c r="BQ23" s="733"/>
      <c r="BR23" s="733"/>
      <c r="BS23" s="733"/>
      <c r="BT23" s="733"/>
      <c r="BU23" s="733"/>
      <c r="BV23" s="733"/>
      <c r="BW23" s="733"/>
      <c r="BX23" s="733"/>
      <c r="BY23" s="733"/>
      <c r="BZ23" s="733"/>
      <c r="CA23" s="733"/>
      <c r="CB23" s="733"/>
      <c r="CC23" s="733"/>
      <c r="CD23" s="733"/>
      <c r="CE23" s="733"/>
      <c r="CF23" s="733"/>
      <c r="CG23" s="733"/>
      <c r="CH23" s="733"/>
      <c r="CI23" s="733"/>
      <c r="CJ23" s="733"/>
      <c r="CK23" s="733"/>
      <c r="CL23" s="733"/>
      <c r="CM23" s="733"/>
      <c r="CN23" s="733"/>
      <c r="CO23" s="733"/>
      <c r="CP23" s="733"/>
      <c r="CQ23" s="733"/>
      <c r="CR23" s="733"/>
      <c r="CS23" s="733"/>
      <c r="CT23" s="733"/>
      <c r="CU23" s="733"/>
      <c r="CV23" s="733"/>
      <c r="CW23" s="733"/>
      <c r="CX23" s="733"/>
      <c r="CY23" s="733"/>
      <c r="CZ23" s="733"/>
      <c r="DA23" s="733"/>
      <c r="DB23" s="733"/>
      <c r="DC23" s="733"/>
      <c r="DD23" s="733"/>
      <c r="DE23" s="733"/>
      <c r="DF23" s="733"/>
      <c r="DG23" s="733"/>
      <c r="DH23" s="733"/>
      <c r="DI23" s="733"/>
      <c r="DJ23" s="733"/>
      <c r="DK23" s="733"/>
      <c r="DL23" s="733"/>
      <c r="DM23" s="733"/>
      <c r="DN23" s="733"/>
      <c r="DO23" s="733"/>
      <c r="DP23" s="733"/>
      <c r="DQ23" s="733"/>
      <c r="DR23" s="733"/>
      <c r="DS23" s="733"/>
      <c r="DT23" s="733"/>
      <c r="DU23" s="733"/>
      <c r="DV23" s="733"/>
      <c r="DW23" s="733"/>
      <c r="DX23" s="733"/>
      <c r="DY23" s="733"/>
      <c r="DZ23" s="733"/>
      <c r="EA23" s="733"/>
      <c r="EB23" s="733"/>
      <c r="EC23" s="733"/>
      <c r="ED23" s="733"/>
      <c r="EE23" s="733"/>
      <c r="EF23" s="733"/>
      <c r="EG23" s="733"/>
      <c r="EH23" s="733"/>
      <c r="EI23" s="733"/>
      <c r="EJ23" s="733"/>
      <c r="EK23" s="733"/>
      <c r="EL23" s="733"/>
      <c r="EM23" s="733"/>
      <c r="EN23" s="733"/>
      <c r="EO23" s="733"/>
      <c r="EP23" s="733"/>
      <c r="EQ23" s="733"/>
      <c r="ER23" s="733"/>
      <c r="ES23" s="733"/>
      <c r="ET23" s="733"/>
      <c r="EU23" s="733"/>
      <c r="EV23" s="733"/>
      <c r="EW23" s="733"/>
      <c r="EX23" s="733"/>
      <c r="EY23" s="733"/>
      <c r="EZ23" s="733"/>
      <c r="FA23" s="733"/>
      <c r="FB23" s="733"/>
      <c r="FC23" s="733"/>
      <c r="FD23" s="733"/>
      <c r="FE23" s="733"/>
      <c r="FF23" s="733"/>
      <c r="FG23" s="733"/>
      <c r="FH23" s="733"/>
      <c r="FI23" s="733"/>
      <c r="FJ23" s="733"/>
      <c r="FK23" s="733"/>
      <c r="FL23" s="733"/>
      <c r="FM23" s="733"/>
      <c r="FN23" s="733"/>
      <c r="FO23" s="733"/>
      <c r="FP23" s="733"/>
      <c r="FQ23" s="733"/>
      <c r="FR23" s="733"/>
      <c r="FS23" s="733"/>
      <c r="FT23" s="733"/>
      <c r="FU23" s="733"/>
      <c r="FV23" s="733"/>
      <c r="FW23" s="733"/>
      <c r="FX23" s="733"/>
      <c r="FY23" s="733"/>
      <c r="FZ23" s="733"/>
      <c r="GA23" s="733"/>
      <c r="GB23" s="733"/>
      <c r="GC23" s="733"/>
      <c r="GD23" s="733"/>
      <c r="GE23" s="733"/>
      <c r="GF23" s="733"/>
      <c r="GG23" s="733"/>
      <c r="GH23" s="733"/>
      <c r="GI23" s="733"/>
      <c r="GJ23" s="733"/>
      <c r="GK23" s="733"/>
      <c r="GL23" s="733"/>
      <c r="GM23" s="733"/>
      <c r="GN23" s="733"/>
      <c r="GO23" s="733"/>
      <c r="GP23" s="733"/>
      <c r="GQ23" s="733"/>
      <c r="GR23" s="733"/>
      <c r="GS23" s="733"/>
      <c r="GT23" s="733"/>
      <c r="GU23" s="733"/>
      <c r="GV23" s="733"/>
      <c r="GW23" s="733"/>
      <c r="GX23" s="733"/>
      <c r="GY23" s="733"/>
      <c r="GZ23" s="733"/>
      <c r="HA23" s="733"/>
      <c r="HB23" s="733"/>
      <c r="HC23" s="733"/>
      <c r="HD23" s="733"/>
      <c r="HE23" s="733"/>
      <c r="HF23" s="733"/>
      <c r="HG23" s="733"/>
      <c r="HH23" s="733"/>
      <c r="HI23" s="733"/>
      <c r="HJ23" s="733"/>
      <c r="HK23" s="733"/>
      <c r="HL23" s="733"/>
      <c r="HM23" s="733"/>
      <c r="HN23" s="733"/>
      <c r="HO23" s="733"/>
      <c r="HP23" s="733"/>
      <c r="HQ23" s="733"/>
      <c r="HR23" s="733"/>
      <c r="HS23" s="733"/>
      <c r="HT23" s="733"/>
      <c r="HU23" s="733"/>
      <c r="HV23" s="733"/>
      <c r="HW23" s="733"/>
      <c r="HX23" s="733"/>
      <c r="HY23" s="733"/>
      <c r="HZ23" s="733"/>
      <c r="IA23" s="733"/>
      <c r="IB23" s="733"/>
      <c r="IC23" s="733"/>
      <c r="ID23" s="733"/>
      <c r="IE23" s="733"/>
      <c r="IF23" s="733"/>
      <c r="IG23" s="733"/>
      <c r="IH23" s="733"/>
      <c r="II23" s="733"/>
      <c r="IJ23" s="733"/>
      <c r="IK23" s="733"/>
      <c r="IL23" s="733"/>
      <c r="IM23" s="733"/>
      <c r="IN23" s="733"/>
      <c r="IO23" s="733"/>
      <c r="IP23" s="733"/>
      <c r="IQ23" s="733"/>
      <c r="IR23" s="733"/>
      <c r="IS23" s="733"/>
      <c r="IT23" s="733"/>
      <c r="IU23" s="733"/>
      <c r="IV23" s="733"/>
      <c r="IW23" s="733"/>
      <c r="IX23" s="733"/>
      <c r="IY23" s="733"/>
      <c r="IZ23" s="733"/>
      <c r="JA23" s="733"/>
      <c r="JB23" s="733"/>
      <c r="JC23" s="733"/>
      <c r="JD23" s="733"/>
    </row>
    <row r="24" spans="1:264" s="742" customFormat="1" x14ac:dyDescent="0.25">
      <c r="A24" s="732" t="s">
        <v>2652</v>
      </c>
      <c r="B24" s="733"/>
      <c r="C24" s="743" t="s">
        <v>2804</v>
      </c>
      <c r="D24" s="739"/>
      <c r="E24" s="744" t="s">
        <v>2816</v>
      </c>
      <c r="F24" s="739"/>
      <c r="G24" s="739" t="s">
        <v>2820</v>
      </c>
      <c r="H24" s="736">
        <v>814002012035</v>
      </c>
      <c r="I24" s="733"/>
      <c r="J24" s="733"/>
      <c r="K24" s="737" t="s">
        <v>289</v>
      </c>
      <c r="L24" s="735" t="s">
        <v>325</v>
      </c>
      <c r="M24" s="738">
        <v>119.99</v>
      </c>
      <c r="N24" s="733"/>
      <c r="O24" s="739">
        <v>2</v>
      </c>
      <c r="P24" s="745">
        <v>5.7</v>
      </c>
      <c r="Q24" s="745">
        <v>6.3</v>
      </c>
      <c r="R24" s="745">
        <v>6.3</v>
      </c>
      <c r="S24" s="745">
        <v>3.7</v>
      </c>
      <c r="T24" s="745">
        <v>5.7</v>
      </c>
      <c r="U24" s="745">
        <v>6.3</v>
      </c>
      <c r="V24" s="745">
        <v>6.3</v>
      </c>
      <c r="W24" s="756">
        <v>3.7</v>
      </c>
      <c r="X24" s="762"/>
      <c r="Y24" s="733"/>
      <c r="Z24" s="733"/>
      <c r="AA24" s="770"/>
      <c r="AB24" s="739"/>
      <c r="AC24" s="733"/>
      <c r="AD24" s="733"/>
      <c r="AE24" s="770"/>
      <c r="AF24" s="739"/>
      <c r="AG24" s="733"/>
      <c r="AH24" s="733"/>
      <c r="AI24" s="733"/>
      <c r="AJ24" s="733"/>
      <c r="AK24" s="733"/>
      <c r="AL24" s="733"/>
      <c r="AM24" s="733"/>
      <c r="AN24" s="733"/>
      <c r="AO24" s="733"/>
      <c r="AP24" s="733"/>
      <c r="AQ24" s="733"/>
      <c r="AR24" s="733"/>
      <c r="AS24" s="733"/>
      <c r="AT24" s="733"/>
      <c r="AU24" s="733"/>
      <c r="AV24" s="733"/>
      <c r="AW24" s="733"/>
      <c r="AX24" s="733"/>
      <c r="AY24" s="733"/>
      <c r="AZ24" s="733"/>
      <c r="BA24" s="733"/>
      <c r="BB24" s="733"/>
      <c r="BC24" s="733"/>
      <c r="BD24" s="733"/>
      <c r="BE24" s="733"/>
      <c r="BF24" s="733"/>
      <c r="BG24" s="733"/>
      <c r="BH24" s="733"/>
      <c r="BI24" s="733"/>
      <c r="BJ24" s="733"/>
      <c r="BK24" s="733"/>
      <c r="BL24" s="733"/>
      <c r="BM24" s="733"/>
      <c r="BN24" s="733"/>
      <c r="BO24" s="733"/>
      <c r="BP24" s="733"/>
      <c r="BQ24" s="733"/>
      <c r="BR24" s="733"/>
      <c r="BS24" s="733"/>
      <c r="BT24" s="733"/>
      <c r="BU24" s="733"/>
      <c r="BV24" s="733"/>
      <c r="BW24" s="733"/>
      <c r="BX24" s="733"/>
      <c r="BY24" s="733"/>
      <c r="BZ24" s="733"/>
      <c r="CA24" s="733"/>
      <c r="CB24" s="733"/>
      <c r="CC24" s="733"/>
      <c r="CD24" s="733"/>
      <c r="CE24" s="733"/>
      <c r="CF24" s="733"/>
      <c r="CG24" s="733"/>
      <c r="CH24" s="733"/>
      <c r="CI24" s="733"/>
      <c r="CJ24" s="733"/>
      <c r="CK24" s="733"/>
      <c r="CL24" s="733"/>
      <c r="CM24" s="733"/>
      <c r="CN24" s="733"/>
      <c r="CO24" s="733"/>
      <c r="CP24" s="733"/>
      <c r="CQ24" s="733"/>
      <c r="CR24" s="733"/>
      <c r="CS24" s="733"/>
      <c r="CT24" s="733"/>
      <c r="CU24" s="733"/>
      <c r="CV24" s="733"/>
      <c r="CW24" s="733"/>
      <c r="CX24" s="733"/>
      <c r="CY24" s="733"/>
      <c r="CZ24" s="733"/>
      <c r="DA24" s="733"/>
      <c r="DB24" s="733"/>
      <c r="DC24" s="733"/>
      <c r="DD24" s="733"/>
      <c r="DE24" s="733"/>
      <c r="DF24" s="733"/>
      <c r="DG24" s="733"/>
      <c r="DH24" s="733"/>
      <c r="DI24" s="733"/>
      <c r="DJ24" s="733"/>
      <c r="DK24" s="733"/>
      <c r="DL24" s="733"/>
      <c r="DM24" s="733"/>
      <c r="DN24" s="733"/>
      <c r="DO24" s="733"/>
      <c r="DP24" s="733"/>
      <c r="DQ24" s="733"/>
      <c r="DR24" s="733"/>
      <c r="DS24" s="733"/>
      <c r="DT24" s="733"/>
      <c r="DU24" s="733"/>
      <c r="DV24" s="733"/>
      <c r="DW24" s="733"/>
      <c r="DX24" s="733"/>
      <c r="DY24" s="733"/>
      <c r="DZ24" s="733"/>
      <c r="EA24" s="733"/>
      <c r="EB24" s="733"/>
      <c r="EC24" s="733"/>
      <c r="ED24" s="733"/>
      <c r="EE24" s="733"/>
      <c r="EF24" s="733"/>
      <c r="EG24" s="733"/>
      <c r="EH24" s="733"/>
      <c r="EI24" s="733"/>
      <c r="EJ24" s="733"/>
      <c r="EK24" s="733"/>
      <c r="EL24" s="733"/>
      <c r="EM24" s="733"/>
      <c r="EN24" s="733"/>
      <c r="EO24" s="733"/>
      <c r="EP24" s="733"/>
      <c r="EQ24" s="733"/>
      <c r="ER24" s="733"/>
      <c r="ES24" s="733"/>
      <c r="ET24" s="733"/>
      <c r="EU24" s="733"/>
      <c r="EV24" s="733"/>
      <c r="EW24" s="733"/>
      <c r="EX24" s="733"/>
      <c r="EY24" s="733"/>
      <c r="EZ24" s="733"/>
      <c r="FA24" s="733"/>
      <c r="FB24" s="733"/>
      <c r="FC24" s="733"/>
      <c r="FD24" s="733"/>
      <c r="FE24" s="733"/>
      <c r="FF24" s="733"/>
      <c r="FG24" s="733"/>
      <c r="FH24" s="733"/>
      <c r="FI24" s="733"/>
      <c r="FJ24" s="733"/>
      <c r="FK24" s="733"/>
      <c r="FL24" s="733"/>
      <c r="FM24" s="733"/>
      <c r="FN24" s="733"/>
      <c r="FO24" s="733"/>
      <c r="FP24" s="733"/>
      <c r="FQ24" s="733"/>
      <c r="FR24" s="733"/>
      <c r="FS24" s="733"/>
      <c r="FT24" s="733"/>
      <c r="FU24" s="733"/>
      <c r="FV24" s="733"/>
      <c r="FW24" s="733"/>
      <c r="FX24" s="733"/>
      <c r="FY24" s="733"/>
      <c r="FZ24" s="733"/>
      <c r="GA24" s="733"/>
      <c r="GB24" s="733"/>
      <c r="GC24" s="733"/>
      <c r="GD24" s="733"/>
      <c r="GE24" s="733"/>
      <c r="GF24" s="733"/>
      <c r="GG24" s="733"/>
      <c r="GH24" s="733"/>
      <c r="GI24" s="733"/>
      <c r="GJ24" s="733"/>
      <c r="GK24" s="733"/>
      <c r="GL24" s="733"/>
      <c r="GM24" s="733"/>
      <c r="GN24" s="733"/>
      <c r="GO24" s="733"/>
      <c r="GP24" s="733"/>
      <c r="GQ24" s="733"/>
      <c r="GR24" s="733"/>
      <c r="GS24" s="733"/>
      <c r="GT24" s="733"/>
      <c r="GU24" s="733"/>
      <c r="GV24" s="733"/>
      <c r="GW24" s="733"/>
      <c r="GX24" s="733"/>
      <c r="GY24" s="733"/>
      <c r="GZ24" s="733"/>
      <c r="HA24" s="733"/>
      <c r="HB24" s="733"/>
      <c r="HC24" s="733"/>
      <c r="HD24" s="733"/>
      <c r="HE24" s="733"/>
      <c r="HF24" s="733"/>
      <c r="HG24" s="733"/>
      <c r="HH24" s="733"/>
      <c r="HI24" s="733"/>
      <c r="HJ24" s="733"/>
      <c r="HK24" s="733"/>
      <c r="HL24" s="733"/>
      <c r="HM24" s="733"/>
      <c r="HN24" s="733"/>
      <c r="HO24" s="733"/>
      <c r="HP24" s="733"/>
      <c r="HQ24" s="733"/>
      <c r="HR24" s="733"/>
      <c r="HS24" s="733"/>
      <c r="HT24" s="733"/>
      <c r="HU24" s="733"/>
      <c r="HV24" s="733"/>
      <c r="HW24" s="733"/>
      <c r="HX24" s="733"/>
      <c r="HY24" s="733"/>
      <c r="HZ24" s="733"/>
      <c r="IA24" s="733"/>
      <c r="IB24" s="733"/>
      <c r="IC24" s="733"/>
      <c r="ID24" s="733"/>
      <c r="IE24" s="733"/>
      <c r="IF24" s="733"/>
      <c r="IG24" s="733"/>
      <c r="IH24" s="733"/>
      <c r="II24" s="733"/>
      <c r="IJ24" s="733"/>
      <c r="IK24" s="733"/>
      <c r="IL24" s="733"/>
      <c r="IM24" s="733"/>
      <c r="IN24" s="733"/>
      <c r="IO24" s="733"/>
      <c r="IP24" s="733"/>
      <c r="IQ24" s="733"/>
      <c r="IR24" s="733"/>
      <c r="IS24" s="733"/>
      <c r="IT24" s="733"/>
      <c r="IU24" s="733"/>
      <c r="IV24" s="733"/>
      <c r="IW24" s="733"/>
      <c r="IX24" s="733"/>
      <c r="IY24" s="733"/>
      <c r="IZ24" s="733"/>
      <c r="JA24" s="733"/>
      <c r="JB24" s="733"/>
      <c r="JC24" s="733"/>
      <c r="JD24" s="733"/>
    </row>
    <row r="25" spans="1:264" s="742" customFormat="1" x14ac:dyDescent="0.25">
      <c r="A25" s="732" t="s">
        <v>2652</v>
      </c>
      <c r="B25" s="733"/>
      <c r="C25" s="743" t="s">
        <v>2805</v>
      </c>
      <c r="D25" s="739"/>
      <c r="E25" s="744" t="s">
        <v>2818</v>
      </c>
      <c r="F25" s="739"/>
      <c r="G25" s="739" t="s">
        <v>2820</v>
      </c>
      <c r="H25" s="736">
        <v>814002012202</v>
      </c>
      <c r="I25" s="733"/>
      <c r="J25" s="733"/>
      <c r="K25" s="737"/>
      <c r="L25" s="735" t="s">
        <v>325</v>
      </c>
      <c r="M25" s="738"/>
      <c r="N25" s="733"/>
      <c r="O25" s="739"/>
      <c r="P25" s="745">
        <v>17</v>
      </c>
      <c r="Q25" s="745">
        <v>15</v>
      </c>
      <c r="R25" s="745">
        <v>13</v>
      </c>
      <c r="S25" s="745">
        <v>8.5</v>
      </c>
      <c r="T25" s="745"/>
      <c r="U25" s="745"/>
      <c r="V25" s="745"/>
      <c r="W25" s="756"/>
      <c r="X25" s="762"/>
      <c r="Y25" s="733"/>
      <c r="Z25" s="733"/>
      <c r="AA25" s="770"/>
      <c r="AB25" s="739"/>
      <c r="AC25" s="733"/>
      <c r="AD25" s="733"/>
      <c r="AE25" s="770"/>
      <c r="AF25" s="739"/>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733"/>
      <c r="BK25" s="733"/>
      <c r="BL25" s="733"/>
      <c r="BM25" s="733"/>
      <c r="BN25" s="733"/>
      <c r="BO25" s="733"/>
      <c r="BP25" s="733"/>
      <c r="BQ25" s="733"/>
      <c r="BR25" s="733"/>
      <c r="BS25" s="733"/>
      <c r="BT25" s="733"/>
      <c r="BU25" s="733"/>
      <c r="BV25" s="733"/>
      <c r="BW25" s="733"/>
      <c r="BX25" s="733"/>
      <c r="BY25" s="733"/>
      <c r="BZ25" s="733"/>
      <c r="CA25" s="733"/>
      <c r="CB25" s="733"/>
      <c r="CC25" s="733"/>
      <c r="CD25" s="733"/>
      <c r="CE25" s="733"/>
      <c r="CF25" s="733"/>
      <c r="CG25" s="733"/>
      <c r="CH25" s="733"/>
      <c r="CI25" s="733"/>
      <c r="CJ25" s="733"/>
      <c r="CK25" s="733"/>
      <c r="CL25" s="733"/>
      <c r="CM25" s="733"/>
      <c r="CN25" s="733"/>
      <c r="CO25" s="733"/>
      <c r="CP25" s="733"/>
      <c r="CQ25" s="733"/>
      <c r="CR25" s="733"/>
      <c r="CS25" s="733"/>
      <c r="CT25" s="733"/>
      <c r="CU25" s="733"/>
      <c r="CV25" s="733"/>
      <c r="CW25" s="733"/>
      <c r="CX25" s="733"/>
      <c r="CY25" s="733"/>
      <c r="CZ25" s="733"/>
      <c r="DA25" s="733"/>
      <c r="DB25" s="733"/>
      <c r="DC25" s="733"/>
      <c r="DD25" s="733"/>
      <c r="DE25" s="733"/>
      <c r="DF25" s="733"/>
      <c r="DG25" s="733"/>
      <c r="DH25" s="733"/>
      <c r="DI25" s="733"/>
      <c r="DJ25" s="733"/>
      <c r="DK25" s="733"/>
      <c r="DL25" s="733"/>
      <c r="DM25" s="733"/>
      <c r="DN25" s="733"/>
      <c r="DO25" s="733"/>
      <c r="DP25" s="733"/>
      <c r="DQ25" s="733"/>
      <c r="DR25" s="733"/>
      <c r="DS25" s="733"/>
      <c r="DT25" s="733"/>
      <c r="DU25" s="733"/>
      <c r="DV25" s="733"/>
      <c r="DW25" s="733"/>
      <c r="DX25" s="733"/>
      <c r="DY25" s="733"/>
      <c r="DZ25" s="733"/>
      <c r="EA25" s="733"/>
      <c r="EB25" s="733"/>
      <c r="EC25" s="733"/>
      <c r="ED25" s="733"/>
      <c r="EE25" s="733"/>
      <c r="EF25" s="733"/>
      <c r="EG25" s="733"/>
      <c r="EH25" s="733"/>
      <c r="EI25" s="733"/>
      <c r="EJ25" s="733"/>
      <c r="EK25" s="733"/>
      <c r="EL25" s="733"/>
      <c r="EM25" s="733"/>
      <c r="EN25" s="733"/>
      <c r="EO25" s="733"/>
      <c r="EP25" s="733"/>
      <c r="EQ25" s="733"/>
      <c r="ER25" s="733"/>
      <c r="ES25" s="733"/>
      <c r="ET25" s="733"/>
      <c r="EU25" s="733"/>
      <c r="EV25" s="733"/>
      <c r="EW25" s="733"/>
      <c r="EX25" s="733"/>
      <c r="EY25" s="733"/>
      <c r="EZ25" s="733"/>
      <c r="FA25" s="733"/>
      <c r="FB25" s="733"/>
      <c r="FC25" s="733"/>
      <c r="FD25" s="733"/>
      <c r="FE25" s="733"/>
      <c r="FF25" s="733"/>
      <c r="FG25" s="733"/>
      <c r="FH25" s="733"/>
      <c r="FI25" s="733"/>
      <c r="FJ25" s="733"/>
      <c r="FK25" s="733"/>
      <c r="FL25" s="733"/>
      <c r="FM25" s="733"/>
      <c r="FN25" s="733"/>
      <c r="FO25" s="733"/>
      <c r="FP25" s="733"/>
      <c r="FQ25" s="733"/>
      <c r="FR25" s="733"/>
      <c r="FS25" s="733"/>
      <c r="FT25" s="733"/>
      <c r="FU25" s="733"/>
      <c r="FV25" s="733"/>
      <c r="FW25" s="733"/>
      <c r="FX25" s="733"/>
      <c r="FY25" s="733"/>
      <c r="FZ25" s="733"/>
      <c r="GA25" s="733"/>
      <c r="GB25" s="733"/>
      <c r="GC25" s="733"/>
      <c r="GD25" s="733"/>
      <c r="GE25" s="733"/>
      <c r="GF25" s="733"/>
      <c r="GG25" s="733"/>
      <c r="GH25" s="733"/>
      <c r="GI25" s="733"/>
      <c r="GJ25" s="733"/>
      <c r="GK25" s="733"/>
      <c r="GL25" s="733"/>
      <c r="GM25" s="733"/>
      <c r="GN25" s="733"/>
      <c r="GO25" s="733"/>
      <c r="GP25" s="733"/>
      <c r="GQ25" s="733"/>
      <c r="GR25" s="733"/>
      <c r="GS25" s="733"/>
      <c r="GT25" s="733"/>
      <c r="GU25" s="733"/>
      <c r="GV25" s="733"/>
      <c r="GW25" s="733"/>
      <c r="GX25" s="733"/>
      <c r="GY25" s="733"/>
      <c r="GZ25" s="733"/>
      <c r="HA25" s="733"/>
      <c r="HB25" s="733"/>
      <c r="HC25" s="733"/>
      <c r="HD25" s="733"/>
      <c r="HE25" s="733"/>
      <c r="HF25" s="733"/>
      <c r="HG25" s="733"/>
      <c r="HH25" s="733"/>
      <c r="HI25" s="733"/>
      <c r="HJ25" s="733"/>
      <c r="HK25" s="733"/>
      <c r="HL25" s="733"/>
      <c r="HM25" s="733"/>
      <c r="HN25" s="733"/>
      <c r="HO25" s="733"/>
      <c r="HP25" s="733"/>
      <c r="HQ25" s="733"/>
      <c r="HR25" s="733"/>
      <c r="HS25" s="733"/>
      <c r="HT25" s="733"/>
      <c r="HU25" s="733"/>
      <c r="HV25" s="733"/>
      <c r="HW25" s="733"/>
      <c r="HX25" s="733"/>
      <c r="HY25" s="733"/>
      <c r="HZ25" s="733"/>
      <c r="IA25" s="733"/>
      <c r="IB25" s="733"/>
      <c r="IC25" s="733"/>
      <c r="ID25" s="733"/>
      <c r="IE25" s="733"/>
      <c r="IF25" s="733"/>
      <c r="IG25" s="733"/>
      <c r="IH25" s="733"/>
      <c r="II25" s="733"/>
      <c r="IJ25" s="733"/>
      <c r="IK25" s="733"/>
      <c r="IL25" s="733"/>
      <c r="IM25" s="733"/>
      <c r="IN25" s="733"/>
      <c r="IO25" s="733"/>
      <c r="IP25" s="733"/>
      <c r="IQ25" s="733"/>
      <c r="IR25" s="733"/>
      <c r="IS25" s="733"/>
      <c r="IT25" s="733"/>
      <c r="IU25" s="733"/>
      <c r="IV25" s="733"/>
      <c r="IW25" s="733"/>
      <c r="IX25" s="733"/>
      <c r="IY25" s="733"/>
      <c r="IZ25" s="733"/>
      <c r="JA25" s="733"/>
      <c r="JB25" s="733"/>
      <c r="JC25" s="733"/>
      <c r="JD25" s="733"/>
    </row>
    <row r="26" spans="1:264" s="742" customFormat="1" x14ac:dyDescent="0.25">
      <c r="A26" s="732" t="s">
        <v>2652</v>
      </c>
      <c r="B26" s="733"/>
      <c r="C26" s="743" t="s">
        <v>2806</v>
      </c>
      <c r="D26" s="739"/>
      <c r="E26" s="744" t="s">
        <v>2819</v>
      </c>
      <c r="F26" s="739"/>
      <c r="G26" s="739" t="s">
        <v>2820</v>
      </c>
      <c r="H26" s="736">
        <v>814002012127</v>
      </c>
      <c r="I26" s="733"/>
      <c r="J26" s="733"/>
      <c r="K26" s="737" t="s">
        <v>2941</v>
      </c>
      <c r="L26" s="735" t="s">
        <v>325</v>
      </c>
      <c r="M26" s="738"/>
      <c r="N26" s="733"/>
      <c r="O26" s="739"/>
      <c r="P26" s="745">
        <v>39</v>
      </c>
      <c r="Q26" s="745">
        <v>17.3</v>
      </c>
      <c r="R26" s="745">
        <v>11</v>
      </c>
      <c r="S26" s="745">
        <v>10</v>
      </c>
      <c r="T26" s="745"/>
      <c r="U26" s="745"/>
      <c r="V26" s="745"/>
      <c r="W26" s="756"/>
      <c r="X26" s="762"/>
      <c r="Y26" s="733"/>
      <c r="Z26" s="733"/>
      <c r="AA26" s="770"/>
      <c r="AB26" s="739"/>
      <c r="AC26" s="733"/>
      <c r="AD26" s="733"/>
      <c r="AE26" s="770"/>
      <c r="AF26" s="739"/>
      <c r="AG26" s="733"/>
      <c r="AH26" s="733"/>
      <c r="AI26" s="733"/>
      <c r="AJ26" s="733"/>
      <c r="AK26" s="733"/>
      <c r="AL26" s="733"/>
      <c r="AM26" s="733"/>
      <c r="AN26" s="733"/>
      <c r="AO26" s="733"/>
      <c r="AP26" s="733"/>
      <c r="AQ26" s="733"/>
      <c r="AR26" s="733"/>
      <c r="AS26" s="733"/>
      <c r="AT26" s="733"/>
      <c r="AU26" s="733"/>
      <c r="AV26" s="733"/>
      <c r="AW26" s="733"/>
      <c r="AX26" s="733"/>
      <c r="AY26" s="733"/>
      <c r="AZ26" s="733"/>
      <c r="BA26" s="733"/>
      <c r="BB26" s="733"/>
      <c r="BC26" s="733"/>
      <c r="BD26" s="733"/>
      <c r="BE26" s="733"/>
      <c r="BF26" s="733"/>
      <c r="BG26" s="733"/>
      <c r="BH26" s="733"/>
      <c r="BI26" s="733"/>
      <c r="BJ26" s="733"/>
      <c r="BK26" s="733"/>
      <c r="BL26" s="733"/>
      <c r="BM26" s="733"/>
      <c r="BN26" s="733"/>
      <c r="BO26" s="733"/>
      <c r="BP26" s="733"/>
      <c r="BQ26" s="733"/>
      <c r="BR26" s="733"/>
      <c r="BS26" s="733"/>
      <c r="BT26" s="733"/>
      <c r="BU26" s="733"/>
      <c r="BV26" s="733"/>
      <c r="BW26" s="733"/>
      <c r="BX26" s="733"/>
      <c r="BY26" s="733"/>
      <c r="BZ26" s="733"/>
      <c r="CA26" s="733"/>
      <c r="CB26" s="733"/>
      <c r="CC26" s="733"/>
      <c r="CD26" s="733"/>
      <c r="CE26" s="733"/>
      <c r="CF26" s="733"/>
      <c r="CG26" s="733"/>
      <c r="CH26" s="733"/>
      <c r="CI26" s="733"/>
      <c r="CJ26" s="733"/>
      <c r="CK26" s="733"/>
      <c r="CL26" s="733"/>
      <c r="CM26" s="733"/>
      <c r="CN26" s="733"/>
      <c r="CO26" s="733"/>
      <c r="CP26" s="733"/>
      <c r="CQ26" s="733"/>
      <c r="CR26" s="733"/>
      <c r="CS26" s="733"/>
      <c r="CT26" s="733"/>
      <c r="CU26" s="733"/>
      <c r="CV26" s="733"/>
      <c r="CW26" s="733"/>
      <c r="CX26" s="733"/>
      <c r="CY26" s="733"/>
      <c r="CZ26" s="733"/>
      <c r="DA26" s="733"/>
      <c r="DB26" s="733"/>
      <c r="DC26" s="733"/>
      <c r="DD26" s="733"/>
      <c r="DE26" s="733"/>
      <c r="DF26" s="733"/>
      <c r="DG26" s="733"/>
      <c r="DH26" s="733"/>
      <c r="DI26" s="733"/>
      <c r="DJ26" s="733"/>
      <c r="DK26" s="733"/>
      <c r="DL26" s="733"/>
      <c r="DM26" s="733"/>
      <c r="DN26" s="733"/>
      <c r="DO26" s="733"/>
      <c r="DP26" s="733"/>
      <c r="DQ26" s="733"/>
      <c r="DR26" s="733"/>
      <c r="DS26" s="733"/>
      <c r="DT26" s="733"/>
      <c r="DU26" s="733"/>
      <c r="DV26" s="733"/>
      <c r="DW26" s="733"/>
      <c r="DX26" s="733"/>
      <c r="DY26" s="733"/>
      <c r="DZ26" s="733"/>
      <c r="EA26" s="733"/>
      <c r="EB26" s="733"/>
      <c r="EC26" s="733"/>
      <c r="ED26" s="733"/>
      <c r="EE26" s="733"/>
      <c r="EF26" s="733"/>
      <c r="EG26" s="733"/>
      <c r="EH26" s="733"/>
      <c r="EI26" s="733"/>
      <c r="EJ26" s="733"/>
      <c r="EK26" s="733"/>
      <c r="EL26" s="733"/>
      <c r="EM26" s="733"/>
      <c r="EN26" s="733"/>
      <c r="EO26" s="733"/>
      <c r="EP26" s="733"/>
      <c r="EQ26" s="733"/>
      <c r="ER26" s="733"/>
      <c r="ES26" s="733"/>
      <c r="ET26" s="733"/>
      <c r="EU26" s="733"/>
      <c r="EV26" s="733"/>
      <c r="EW26" s="733"/>
      <c r="EX26" s="733"/>
      <c r="EY26" s="733"/>
      <c r="EZ26" s="733"/>
      <c r="FA26" s="733"/>
      <c r="FB26" s="733"/>
      <c r="FC26" s="733"/>
      <c r="FD26" s="733"/>
      <c r="FE26" s="733"/>
      <c r="FF26" s="733"/>
      <c r="FG26" s="733"/>
      <c r="FH26" s="733"/>
      <c r="FI26" s="733"/>
      <c r="FJ26" s="733"/>
      <c r="FK26" s="733"/>
      <c r="FL26" s="733"/>
      <c r="FM26" s="733"/>
      <c r="FN26" s="733"/>
      <c r="FO26" s="733"/>
      <c r="FP26" s="733"/>
      <c r="FQ26" s="733"/>
      <c r="FR26" s="733"/>
      <c r="FS26" s="733"/>
      <c r="FT26" s="733"/>
      <c r="FU26" s="733"/>
      <c r="FV26" s="733"/>
      <c r="FW26" s="733"/>
      <c r="FX26" s="733"/>
      <c r="FY26" s="733"/>
      <c r="FZ26" s="733"/>
      <c r="GA26" s="733"/>
      <c r="GB26" s="733"/>
      <c r="GC26" s="733"/>
      <c r="GD26" s="733"/>
      <c r="GE26" s="733"/>
      <c r="GF26" s="733"/>
      <c r="GG26" s="733"/>
      <c r="GH26" s="733"/>
      <c r="GI26" s="733"/>
      <c r="GJ26" s="733"/>
      <c r="GK26" s="733"/>
      <c r="GL26" s="733"/>
      <c r="GM26" s="733"/>
      <c r="GN26" s="733"/>
      <c r="GO26" s="733"/>
      <c r="GP26" s="733"/>
      <c r="GQ26" s="733"/>
      <c r="GR26" s="733"/>
      <c r="GS26" s="733"/>
      <c r="GT26" s="733"/>
      <c r="GU26" s="733"/>
      <c r="GV26" s="733"/>
      <c r="GW26" s="733"/>
      <c r="GX26" s="733"/>
      <c r="GY26" s="733"/>
      <c r="GZ26" s="733"/>
      <c r="HA26" s="733"/>
      <c r="HB26" s="733"/>
      <c r="HC26" s="733"/>
      <c r="HD26" s="733"/>
      <c r="HE26" s="733"/>
      <c r="HF26" s="733"/>
      <c r="HG26" s="733"/>
      <c r="HH26" s="733"/>
      <c r="HI26" s="733"/>
      <c r="HJ26" s="733"/>
      <c r="HK26" s="733"/>
      <c r="HL26" s="733"/>
      <c r="HM26" s="733"/>
      <c r="HN26" s="733"/>
      <c r="HO26" s="733"/>
      <c r="HP26" s="733"/>
      <c r="HQ26" s="733"/>
      <c r="HR26" s="733"/>
      <c r="HS26" s="733"/>
      <c r="HT26" s="733"/>
      <c r="HU26" s="733"/>
      <c r="HV26" s="733"/>
      <c r="HW26" s="733"/>
      <c r="HX26" s="733"/>
      <c r="HY26" s="733"/>
      <c r="HZ26" s="733"/>
      <c r="IA26" s="733"/>
      <c r="IB26" s="733"/>
      <c r="IC26" s="733"/>
      <c r="ID26" s="733"/>
      <c r="IE26" s="733"/>
      <c r="IF26" s="733"/>
      <c r="IG26" s="733"/>
      <c r="IH26" s="733"/>
      <c r="II26" s="733"/>
      <c r="IJ26" s="733"/>
      <c r="IK26" s="733"/>
      <c r="IL26" s="733"/>
      <c r="IM26" s="733"/>
      <c r="IN26" s="733"/>
      <c r="IO26" s="733"/>
      <c r="IP26" s="733"/>
      <c r="IQ26" s="733"/>
      <c r="IR26" s="733"/>
      <c r="IS26" s="733"/>
      <c r="IT26" s="733"/>
      <c r="IU26" s="733"/>
      <c r="IV26" s="733"/>
      <c r="IW26" s="733"/>
      <c r="IX26" s="733"/>
      <c r="IY26" s="733"/>
      <c r="IZ26" s="733"/>
      <c r="JA26" s="733"/>
      <c r="JB26" s="733"/>
      <c r="JC26" s="733"/>
      <c r="JD26" s="733"/>
    </row>
    <row r="27" spans="1:264" s="742" customFormat="1" x14ac:dyDescent="0.25">
      <c r="A27" s="732" t="s">
        <v>2652</v>
      </c>
      <c r="B27" s="733"/>
      <c r="C27" s="743" t="s">
        <v>2807</v>
      </c>
      <c r="D27" s="739"/>
      <c r="E27" s="744" t="s">
        <v>2815</v>
      </c>
      <c r="F27" s="739"/>
      <c r="G27" s="739" t="s">
        <v>2821</v>
      </c>
      <c r="H27" s="736">
        <v>814002012103</v>
      </c>
      <c r="I27" s="733"/>
      <c r="J27" s="733"/>
      <c r="K27" s="737" t="s">
        <v>289</v>
      </c>
      <c r="L27" s="735" t="s">
        <v>325</v>
      </c>
      <c r="M27" s="738">
        <v>9.99</v>
      </c>
      <c r="N27" s="733"/>
      <c r="O27" s="739">
        <v>10</v>
      </c>
      <c r="P27" s="745">
        <v>0.1</v>
      </c>
      <c r="Q27" s="745">
        <v>39.700000000000003</v>
      </c>
      <c r="R27" s="745">
        <v>0.3</v>
      </c>
      <c r="S27" s="745">
        <v>0.3</v>
      </c>
      <c r="T27" s="745">
        <v>7.4999999999999997E-2</v>
      </c>
      <c r="U27" s="745">
        <v>6.3</v>
      </c>
      <c r="V27" s="745">
        <v>2.4</v>
      </c>
      <c r="W27" s="756">
        <v>0.4</v>
      </c>
      <c r="X27" s="762"/>
      <c r="Y27" s="733"/>
      <c r="Z27" s="733"/>
      <c r="AA27" s="770"/>
      <c r="AB27" s="739"/>
      <c r="AC27" s="733"/>
      <c r="AD27" s="733"/>
      <c r="AE27" s="770"/>
      <c r="AF27" s="739"/>
      <c r="AG27" s="733"/>
      <c r="AH27" s="733"/>
      <c r="AI27" s="733"/>
      <c r="AJ27" s="733"/>
      <c r="AK27" s="733"/>
      <c r="AL27" s="733"/>
      <c r="AM27" s="733"/>
      <c r="AN27" s="733"/>
      <c r="AO27" s="733"/>
      <c r="AP27" s="733"/>
      <c r="AQ27" s="733"/>
      <c r="AR27" s="733"/>
      <c r="AS27" s="733"/>
      <c r="AT27" s="733"/>
      <c r="AU27" s="733"/>
      <c r="AV27" s="733"/>
      <c r="AW27" s="733"/>
      <c r="AX27" s="733"/>
      <c r="AY27" s="733"/>
      <c r="AZ27" s="733"/>
      <c r="BA27" s="733"/>
      <c r="BB27" s="733"/>
      <c r="BC27" s="733"/>
      <c r="BD27" s="733"/>
      <c r="BE27" s="733"/>
      <c r="BF27" s="733"/>
      <c r="BG27" s="733"/>
      <c r="BH27" s="733"/>
      <c r="BI27" s="733"/>
      <c r="BJ27" s="733"/>
      <c r="BK27" s="733"/>
      <c r="BL27" s="733"/>
      <c r="BM27" s="733"/>
      <c r="BN27" s="733"/>
      <c r="BO27" s="733"/>
      <c r="BP27" s="733"/>
      <c r="BQ27" s="733"/>
      <c r="BR27" s="733"/>
      <c r="BS27" s="733"/>
      <c r="BT27" s="733"/>
      <c r="BU27" s="733"/>
      <c r="BV27" s="733"/>
      <c r="BW27" s="733"/>
      <c r="BX27" s="733"/>
      <c r="BY27" s="733"/>
      <c r="BZ27" s="733"/>
      <c r="CA27" s="733"/>
      <c r="CB27" s="733"/>
      <c r="CC27" s="733"/>
      <c r="CD27" s="733"/>
      <c r="CE27" s="733"/>
      <c r="CF27" s="733"/>
      <c r="CG27" s="733"/>
      <c r="CH27" s="733"/>
      <c r="CI27" s="733"/>
      <c r="CJ27" s="733"/>
      <c r="CK27" s="733"/>
      <c r="CL27" s="733"/>
      <c r="CM27" s="733"/>
      <c r="CN27" s="733"/>
      <c r="CO27" s="733"/>
      <c r="CP27" s="733"/>
      <c r="CQ27" s="733"/>
      <c r="CR27" s="733"/>
      <c r="CS27" s="733"/>
      <c r="CT27" s="733"/>
      <c r="CU27" s="733"/>
      <c r="CV27" s="733"/>
      <c r="CW27" s="733"/>
      <c r="CX27" s="733"/>
      <c r="CY27" s="733"/>
      <c r="CZ27" s="733"/>
      <c r="DA27" s="733"/>
      <c r="DB27" s="733"/>
      <c r="DC27" s="733"/>
      <c r="DD27" s="733"/>
      <c r="DE27" s="733"/>
      <c r="DF27" s="733"/>
      <c r="DG27" s="733"/>
      <c r="DH27" s="733"/>
      <c r="DI27" s="733"/>
      <c r="DJ27" s="733"/>
      <c r="DK27" s="733"/>
      <c r="DL27" s="733"/>
      <c r="DM27" s="733"/>
      <c r="DN27" s="733"/>
      <c r="DO27" s="733"/>
      <c r="DP27" s="733"/>
      <c r="DQ27" s="733"/>
      <c r="DR27" s="733"/>
      <c r="DS27" s="733"/>
      <c r="DT27" s="733"/>
      <c r="DU27" s="733"/>
      <c r="DV27" s="733"/>
      <c r="DW27" s="733"/>
      <c r="DX27" s="733"/>
      <c r="DY27" s="733"/>
      <c r="DZ27" s="733"/>
      <c r="EA27" s="733"/>
      <c r="EB27" s="733"/>
      <c r="EC27" s="733"/>
      <c r="ED27" s="733"/>
      <c r="EE27" s="733"/>
      <c r="EF27" s="733"/>
      <c r="EG27" s="733"/>
      <c r="EH27" s="733"/>
      <c r="EI27" s="733"/>
      <c r="EJ27" s="733"/>
      <c r="EK27" s="733"/>
      <c r="EL27" s="733"/>
      <c r="EM27" s="733"/>
      <c r="EN27" s="733"/>
      <c r="EO27" s="733"/>
      <c r="EP27" s="733"/>
      <c r="EQ27" s="733"/>
      <c r="ER27" s="733"/>
      <c r="ES27" s="733"/>
      <c r="ET27" s="733"/>
      <c r="EU27" s="733"/>
      <c r="EV27" s="733"/>
      <c r="EW27" s="733"/>
      <c r="EX27" s="733"/>
      <c r="EY27" s="733"/>
      <c r="EZ27" s="733"/>
      <c r="FA27" s="733"/>
      <c r="FB27" s="733"/>
      <c r="FC27" s="733"/>
      <c r="FD27" s="733"/>
      <c r="FE27" s="733"/>
      <c r="FF27" s="733"/>
      <c r="FG27" s="733"/>
      <c r="FH27" s="733"/>
      <c r="FI27" s="733"/>
      <c r="FJ27" s="733"/>
      <c r="FK27" s="733"/>
      <c r="FL27" s="733"/>
      <c r="FM27" s="733"/>
      <c r="FN27" s="733"/>
      <c r="FO27" s="733"/>
      <c r="FP27" s="733"/>
      <c r="FQ27" s="733"/>
      <c r="FR27" s="733"/>
      <c r="FS27" s="733"/>
      <c r="FT27" s="733"/>
      <c r="FU27" s="733"/>
      <c r="FV27" s="733"/>
      <c r="FW27" s="733"/>
      <c r="FX27" s="733"/>
      <c r="FY27" s="733"/>
      <c r="FZ27" s="733"/>
      <c r="GA27" s="733"/>
      <c r="GB27" s="733"/>
      <c r="GC27" s="733"/>
      <c r="GD27" s="733"/>
      <c r="GE27" s="733"/>
      <c r="GF27" s="733"/>
      <c r="GG27" s="733"/>
      <c r="GH27" s="733"/>
      <c r="GI27" s="733"/>
      <c r="GJ27" s="733"/>
      <c r="GK27" s="733"/>
      <c r="GL27" s="733"/>
      <c r="GM27" s="733"/>
      <c r="GN27" s="733"/>
      <c r="GO27" s="733"/>
      <c r="GP27" s="733"/>
      <c r="GQ27" s="733"/>
      <c r="GR27" s="733"/>
      <c r="GS27" s="733"/>
      <c r="GT27" s="733"/>
      <c r="GU27" s="733"/>
      <c r="GV27" s="733"/>
      <c r="GW27" s="733"/>
      <c r="GX27" s="733"/>
      <c r="GY27" s="733"/>
      <c r="GZ27" s="733"/>
      <c r="HA27" s="733"/>
      <c r="HB27" s="733"/>
      <c r="HC27" s="733"/>
      <c r="HD27" s="733"/>
      <c r="HE27" s="733"/>
      <c r="HF27" s="733"/>
      <c r="HG27" s="733"/>
      <c r="HH27" s="733"/>
      <c r="HI27" s="733"/>
      <c r="HJ27" s="733"/>
      <c r="HK27" s="733"/>
      <c r="HL27" s="733"/>
      <c r="HM27" s="733"/>
      <c r="HN27" s="733"/>
      <c r="HO27" s="733"/>
      <c r="HP27" s="733"/>
      <c r="HQ27" s="733"/>
      <c r="HR27" s="733"/>
      <c r="HS27" s="733"/>
      <c r="HT27" s="733"/>
      <c r="HU27" s="733"/>
      <c r="HV27" s="733"/>
      <c r="HW27" s="733"/>
      <c r="HX27" s="733"/>
      <c r="HY27" s="733"/>
      <c r="HZ27" s="733"/>
      <c r="IA27" s="733"/>
      <c r="IB27" s="733"/>
      <c r="IC27" s="733"/>
      <c r="ID27" s="733"/>
      <c r="IE27" s="733"/>
      <c r="IF27" s="733"/>
      <c r="IG27" s="733"/>
      <c r="IH27" s="733"/>
      <c r="II27" s="733"/>
      <c r="IJ27" s="733"/>
      <c r="IK27" s="733"/>
      <c r="IL27" s="733"/>
      <c r="IM27" s="733"/>
      <c r="IN27" s="733"/>
      <c r="IO27" s="733"/>
      <c r="IP27" s="733"/>
      <c r="IQ27" s="733"/>
      <c r="IR27" s="733"/>
      <c r="IS27" s="733"/>
      <c r="IT27" s="733"/>
      <c r="IU27" s="733"/>
      <c r="IV27" s="733"/>
      <c r="IW27" s="733"/>
      <c r="IX27" s="733"/>
      <c r="IY27" s="733"/>
      <c r="IZ27" s="733"/>
      <c r="JA27" s="733"/>
      <c r="JB27" s="733"/>
      <c r="JC27" s="733"/>
      <c r="JD27" s="733"/>
    </row>
    <row r="28" spans="1:264" s="742" customFormat="1" x14ac:dyDescent="0.25">
      <c r="A28" s="732" t="s">
        <v>2652</v>
      </c>
      <c r="B28" s="733"/>
      <c r="C28" s="743" t="s">
        <v>2808</v>
      </c>
      <c r="D28" s="739"/>
      <c r="E28" s="744" t="s">
        <v>2814</v>
      </c>
      <c r="F28" s="739"/>
      <c r="G28" s="739" t="s">
        <v>2821</v>
      </c>
      <c r="H28" s="736">
        <v>814002012073</v>
      </c>
      <c r="I28" s="733"/>
      <c r="J28" s="733"/>
      <c r="K28" s="737" t="s">
        <v>289</v>
      </c>
      <c r="L28" s="735" t="s">
        <v>325</v>
      </c>
      <c r="M28" s="738">
        <v>14.99</v>
      </c>
      <c r="N28" s="733"/>
      <c r="O28" s="739">
        <v>10</v>
      </c>
      <c r="P28" s="745">
        <v>0.1</v>
      </c>
      <c r="Q28" s="745">
        <v>42</v>
      </c>
      <c r="R28" s="745">
        <v>0.8</v>
      </c>
      <c r="S28" s="745">
        <v>1</v>
      </c>
      <c r="T28" s="745">
        <v>0.12</v>
      </c>
      <c r="U28" s="745">
        <v>6.3</v>
      </c>
      <c r="V28" s="745">
        <v>2.4</v>
      </c>
      <c r="W28" s="756">
        <v>1.2</v>
      </c>
      <c r="X28" s="762"/>
      <c r="Y28" s="733"/>
      <c r="Z28" s="733"/>
      <c r="AA28" s="770"/>
      <c r="AB28" s="739"/>
      <c r="AC28" s="733"/>
      <c r="AD28" s="733"/>
      <c r="AE28" s="770"/>
      <c r="AF28" s="739"/>
      <c r="AG28" s="733"/>
      <c r="AH28" s="733"/>
      <c r="AI28" s="733"/>
      <c r="AJ28" s="733"/>
      <c r="AK28" s="733"/>
      <c r="AL28" s="733"/>
      <c r="AM28" s="733"/>
      <c r="AN28" s="733"/>
      <c r="AO28" s="733"/>
      <c r="AP28" s="733"/>
      <c r="AQ28" s="733"/>
      <c r="AR28" s="733"/>
      <c r="AS28" s="733"/>
      <c r="AT28" s="733"/>
      <c r="AU28" s="733"/>
      <c r="AV28" s="733"/>
      <c r="AW28" s="733"/>
      <c r="AX28" s="733"/>
      <c r="AY28" s="733"/>
      <c r="AZ28" s="733"/>
      <c r="BA28" s="733"/>
      <c r="BB28" s="733"/>
      <c r="BC28" s="733"/>
      <c r="BD28" s="733"/>
      <c r="BE28" s="733"/>
      <c r="BF28" s="733"/>
      <c r="BG28" s="733"/>
      <c r="BH28" s="733"/>
      <c r="BI28" s="733"/>
      <c r="BJ28" s="733"/>
      <c r="BK28" s="733"/>
      <c r="BL28" s="733"/>
      <c r="BM28" s="733"/>
      <c r="BN28" s="733"/>
      <c r="BO28" s="733"/>
      <c r="BP28" s="733"/>
      <c r="BQ28" s="733"/>
      <c r="BR28" s="733"/>
      <c r="BS28" s="733"/>
      <c r="BT28" s="733"/>
      <c r="BU28" s="733"/>
      <c r="BV28" s="733"/>
      <c r="BW28" s="733"/>
      <c r="BX28" s="733"/>
      <c r="BY28" s="733"/>
      <c r="BZ28" s="733"/>
      <c r="CA28" s="733"/>
      <c r="CB28" s="733"/>
      <c r="CC28" s="733"/>
      <c r="CD28" s="733"/>
      <c r="CE28" s="733"/>
      <c r="CF28" s="733"/>
      <c r="CG28" s="733"/>
      <c r="CH28" s="733"/>
      <c r="CI28" s="733"/>
      <c r="CJ28" s="733"/>
      <c r="CK28" s="733"/>
      <c r="CL28" s="733"/>
      <c r="CM28" s="733"/>
      <c r="CN28" s="733"/>
      <c r="CO28" s="733"/>
      <c r="CP28" s="733"/>
      <c r="CQ28" s="733"/>
      <c r="CR28" s="733"/>
      <c r="CS28" s="733"/>
      <c r="CT28" s="733"/>
      <c r="CU28" s="733"/>
      <c r="CV28" s="733"/>
      <c r="CW28" s="733"/>
      <c r="CX28" s="733"/>
      <c r="CY28" s="733"/>
      <c r="CZ28" s="733"/>
      <c r="DA28" s="733"/>
      <c r="DB28" s="733"/>
      <c r="DC28" s="733"/>
      <c r="DD28" s="733"/>
      <c r="DE28" s="733"/>
      <c r="DF28" s="733"/>
      <c r="DG28" s="733"/>
      <c r="DH28" s="733"/>
      <c r="DI28" s="733"/>
      <c r="DJ28" s="733"/>
      <c r="DK28" s="733"/>
      <c r="DL28" s="733"/>
      <c r="DM28" s="733"/>
      <c r="DN28" s="733"/>
      <c r="DO28" s="733"/>
      <c r="DP28" s="733"/>
      <c r="DQ28" s="733"/>
      <c r="DR28" s="733"/>
      <c r="DS28" s="733"/>
      <c r="DT28" s="733"/>
      <c r="DU28" s="733"/>
      <c r="DV28" s="733"/>
      <c r="DW28" s="733"/>
      <c r="DX28" s="733"/>
      <c r="DY28" s="733"/>
      <c r="DZ28" s="733"/>
      <c r="EA28" s="733"/>
      <c r="EB28" s="733"/>
      <c r="EC28" s="733"/>
      <c r="ED28" s="733"/>
      <c r="EE28" s="733"/>
      <c r="EF28" s="733"/>
      <c r="EG28" s="733"/>
      <c r="EH28" s="733"/>
      <c r="EI28" s="733"/>
      <c r="EJ28" s="733"/>
      <c r="EK28" s="733"/>
      <c r="EL28" s="733"/>
      <c r="EM28" s="733"/>
      <c r="EN28" s="733"/>
      <c r="EO28" s="733"/>
      <c r="EP28" s="733"/>
      <c r="EQ28" s="733"/>
      <c r="ER28" s="733"/>
      <c r="ES28" s="733"/>
      <c r="ET28" s="733"/>
      <c r="EU28" s="733"/>
      <c r="EV28" s="733"/>
      <c r="EW28" s="733"/>
      <c r="EX28" s="733"/>
      <c r="EY28" s="733"/>
      <c r="EZ28" s="733"/>
      <c r="FA28" s="733"/>
      <c r="FB28" s="733"/>
      <c r="FC28" s="733"/>
      <c r="FD28" s="733"/>
      <c r="FE28" s="733"/>
      <c r="FF28" s="733"/>
      <c r="FG28" s="733"/>
      <c r="FH28" s="733"/>
      <c r="FI28" s="733"/>
      <c r="FJ28" s="733"/>
      <c r="FK28" s="733"/>
      <c r="FL28" s="733"/>
      <c r="FM28" s="733"/>
      <c r="FN28" s="733"/>
      <c r="FO28" s="733"/>
      <c r="FP28" s="733"/>
      <c r="FQ28" s="733"/>
      <c r="FR28" s="733"/>
      <c r="FS28" s="733"/>
      <c r="FT28" s="733"/>
      <c r="FU28" s="733"/>
      <c r="FV28" s="733"/>
      <c r="FW28" s="733"/>
      <c r="FX28" s="733"/>
      <c r="FY28" s="733"/>
      <c r="FZ28" s="733"/>
      <c r="GA28" s="733"/>
      <c r="GB28" s="733"/>
      <c r="GC28" s="733"/>
      <c r="GD28" s="733"/>
      <c r="GE28" s="733"/>
      <c r="GF28" s="733"/>
      <c r="GG28" s="733"/>
      <c r="GH28" s="733"/>
      <c r="GI28" s="733"/>
      <c r="GJ28" s="733"/>
      <c r="GK28" s="733"/>
      <c r="GL28" s="733"/>
      <c r="GM28" s="733"/>
      <c r="GN28" s="733"/>
      <c r="GO28" s="733"/>
      <c r="GP28" s="733"/>
      <c r="GQ28" s="733"/>
      <c r="GR28" s="733"/>
      <c r="GS28" s="733"/>
      <c r="GT28" s="733"/>
      <c r="GU28" s="733"/>
      <c r="GV28" s="733"/>
      <c r="GW28" s="733"/>
      <c r="GX28" s="733"/>
      <c r="GY28" s="733"/>
      <c r="GZ28" s="733"/>
      <c r="HA28" s="733"/>
      <c r="HB28" s="733"/>
      <c r="HC28" s="733"/>
      <c r="HD28" s="733"/>
      <c r="HE28" s="733"/>
      <c r="HF28" s="733"/>
      <c r="HG28" s="733"/>
      <c r="HH28" s="733"/>
      <c r="HI28" s="733"/>
      <c r="HJ28" s="733"/>
      <c r="HK28" s="733"/>
      <c r="HL28" s="733"/>
      <c r="HM28" s="733"/>
      <c r="HN28" s="733"/>
      <c r="HO28" s="733"/>
      <c r="HP28" s="733"/>
      <c r="HQ28" s="733"/>
      <c r="HR28" s="733"/>
      <c r="HS28" s="733"/>
      <c r="HT28" s="733"/>
      <c r="HU28" s="733"/>
      <c r="HV28" s="733"/>
      <c r="HW28" s="733"/>
      <c r="HX28" s="733"/>
      <c r="HY28" s="733"/>
      <c r="HZ28" s="733"/>
      <c r="IA28" s="733"/>
      <c r="IB28" s="733"/>
      <c r="IC28" s="733"/>
      <c r="ID28" s="733"/>
      <c r="IE28" s="733"/>
      <c r="IF28" s="733"/>
      <c r="IG28" s="733"/>
      <c r="IH28" s="733"/>
      <c r="II28" s="733"/>
      <c r="IJ28" s="733"/>
      <c r="IK28" s="733"/>
      <c r="IL28" s="733"/>
      <c r="IM28" s="733"/>
      <c r="IN28" s="733"/>
      <c r="IO28" s="733"/>
      <c r="IP28" s="733"/>
      <c r="IQ28" s="733"/>
      <c r="IR28" s="733"/>
      <c r="IS28" s="733"/>
      <c r="IT28" s="733"/>
      <c r="IU28" s="733"/>
      <c r="IV28" s="733"/>
      <c r="IW28" s="733"/>
      <c r="IX28" s="733"/>
      <c r="IY28" s="733"/>
      <c r="IZ28" s="733"/>
      <c r="JA28" s="733"/>
      <c r="JB28" s="733"/>
      <c r="JC28" s="733"/>
      <c r="JD28" s="733"/>
    </row>
    <row r="29" spans="1:264" s="742" customFormat="1" x14ac:dyDescent="0.25">
      <c r="A29" s="732" t="s">
        <v>2652</v>
      </c>
      <c r="B29" s="733"/>
      <c r="C29" s="743" t="s">
        <v>2809</v>
      </c>
      <c r="D29" s="739"/>
      <c r="E29" s="744" t="s">
        <v>2812</v>
      </c>
      <c r="F29" s="739"/>
      <c r="G29" s="739"/>
      <c r="H29" s="736">
        <v>814002012134</v>
      </c>
      <c r="I29" s="733"/>
      <c r="J29" s="733"/>
      <c r="K29" s="737" t="s">
        <v>2942</v>
      </c>
      <c r="L29" s="735" t="s">
        <v>325</v>
      </c>
      <c r="M29" s="738">
        <v>219.99</v>
      </c>
      <c r="N29" s="733"/>
      <c r="O29" s="739"/>
      <c r="P29" s="745">
        <v>1.8</v>
      </c>
      <c r="Q29" s="745">
        <v>7.9</v>
      </c>
      <c r="R29" s="745">
        <v>6.1</v>
      </c>
      <c r="S29" s="745">
        <v>3</v>
      </c>
      <c r="T29" s="745">
        <v>2.4</v>
      </c>
      <c r="U29" s="745">
        <v>9.6999999999999993</v>
      </c>
      <c r="V29" s="745">
        <v>7.8</v>
      </c>
      <c r="W29" s="756">
        <v>5.3</v>
      </c>
      <c r="X29" s="762"/>
      <c r="Y29" s="733"/>
      <c r="Z29" s="733"/>
      <c r="AA29" s="770"/>
      <c r="AB29" s="739"/>
      <c r="AC29" s="733"/>
      <c r="AD29" s="733"/>
      <c r="AE29" s="770"/>
      <c r="AF29" s="739"/>
      <c r="AG29" s="733"/>
      <c r="AH29" s="733"/>
      <c r="AI29" s="733"/>
      <c r="AJ29" s="733"/>
      <c r="AK29" s="733"/>
      <c r="AL29" s="733"/>
      <c r="AM29" s="733"/>
      <c r="AN29" s="733"/>
      <c r="AO29" s="733"/>
      <c r="AP29" s="733"/>
      <c r="AQ29" s="733"/>
      <c r="AR29" s="733"/>
      <c r="AS29" s="733"/>
      <c r="AT29" s="733"/>
      <c r="AU29" s="733"/>
      <c r="AV29" s="733"/>
      <c r="AW29" s="733"/>
      <c r="AX29" s="733"/>
      <c r="AY29" s="733"/>
      <c r="AZ29" s="733"/>
      <c r="BA29" s="733"/>
      <c r="BB29" s="733"/>
      <c r="BC29" s="733"/>
      <c r="BD29" s="733"/>
      <c r="BE29" s="733"/>
      <c r="BF29" s="733"/>
      <c r="BG29" s="733"/>
      <c r="BH29" s="733"/>
      <c r="BI29" s="733"/>
      <c r="BJ29" s="733"/>
      <c r="BK29" s="733"/>
      <c r="BL29" s="733"/>
      <c r="BM29" s="733"/>
      <c r="BN29" s="733"/>
      <c r="BO29" s="733"/>
      <c r="BP29" s="733"/>
      <c r="BQ29" s="733"/>
      <c r="BR29" s="733"/>
      <c r="BS29" s="733"/>
      <c r="BT29" s="733"/>
      <c r="BU29" s="733"/>
      <c r="BV29" s="733"/>
      <c r="BW29" s="733"/>
      <c r="BX29" s="733"/>
      <c r="BY29" s="733"/>
      <c r="BZ29" s="733"/>
      <c r="CA29" s="733"/>
      <c r="CB29" s="733"/>
      <c r="CC29" s="733"/>
      <c r="CD29" s="733"/>
      <c r="CE29" s="733"/>
      <c r="CF29" s="733"/>
      <c r="CG29" s="733"/>
      <c r="CH29" s="733"/>
      <c r="CI29" s="733"/>
      <c r="CJ29" s="733"/>
      <c r="CK29" s="733"/>
      <c r="CL29" s="733"/>
      <c r="CM29" s="733"/>
      <c r="CN29" s="733"/>
      <c r="CO29" s="733"/>
      <c r="CP29" s="733"/>
      <c r="CQ29" s="733"/>
      <c r="CR29" s="733"/>
      <c r="CS29" s="733"/>
      <c r="CT29" s="733"/>
      <c r="CU29" s="733"/>
      <c r="CV29" s="733"/>
      <c r="CW29" s="733"/>
      <c r="CX29" s="733"/>
      <c r="CY29" s="733"/>
      <c r="CZ29" s="733"/>
      <c r="DA29" s="733"/>
      <c r="DB29" s="733"/>
      <c r="DC29" s="733"/>
      <c r="DD29" s="733"/>
      <c r="DE29" s="733"/>
      <c r="DF29" s="733"/>
      <c r="DG29" s="733"/>
      <c r="DH29" s="733"/>
      <c r="DI29" s="733"/>
      <c r="DJ29" s="733"/>
      <c r="DK29" s="733"/>
      <c r="DL29" s="733"/>
      <c r="DM29" s="733"/>
      <c r="DN29" s="733"/>
      <c r="DO29" s="733"/>
      <c r="DP29" s="733"/>
      <c r="DQ29" s="733"/>
      <c r="DR29" s="733"/>
      <c r="DS29" s="733"/>
      <c r="DT29" s="733"/>
      <c r="DU29" s="733"/>
      <c r="DV29" s="733"/>
      <c r="DW29" s="733"/>
      <c r="DX29" s="733"/>
      <c r="DY29" s="733"/>
      <c r="DZ29" s="733"/>
      <c r="EA29" s="733"/>
      <c r="EB29" s="733"/>
      <c r="EC29" s="733"/>
      <c r="ED29" s="733"/>
      <c r="EE29" s="733"/>
      <c r="EF29" s="733"/>
      <c r="EG29" s="733"/>
      <c r="EH29" s="733"/>
      <c r="EI29" s="733"/>
      <c r="EJ29" s="733"/>
      <c r="EK29" s="733"/>
      <c r="EL29" s="733"/>
      <c r="EM29" s="733"/>
      <c r="EN29" s="733"/>
      <c r="EO29" s="733"/>
      <c r="EP29" s="733"/>
      <c r="EQ29" s="733"/>
      <c r="ER29" s="733"/>
      <c r="ES29" s="733"/>
      <c r="ET29" s="733"/>
      <c r="EU29" s="733"/>
      <c r="EV29" s="733"/>
      <c r="EW29" s="733"/>
      <c r="EX29" s="733"/>
      <c r="EY29" s="733"/>
      <c r="EZ29" s="733"/>
      <c r="FA29" s="733"/>
      <c r="FB29" s="733"/>
      <c r="FC29" s="733"/>
      <c r="FD29" s="733"/>
      <c r="FE29" s="733"/>
      <c r="FF29" s="733"/>
      <c r="FG29" s="733"/>
      <c r="FH29" s="733"/>
      <c r="FI29" s="733"/>
      <c r="FJ29" s="733"/>
      <c r="FK29" s="733"/>
      <c r="FL29" s="733"/>
      <c r="FM29" s="733"/>
      <c r="FN29" s="733"/>
      <c r="FO29" s="733"/>
      <c r="FP29" s="733"/>
      <c r="FQ29" s="733"/>
      <c r="FR29" s="733"/>
      <c r="FS29" s="733"/>
      <c r="FT29" s="733"/>
      <c r="FU29" s="733"/>
      <c r="FV29" s="733"/>
      <c r="FW29" s="733"/>
      <c r="FX29" s="733"/>
      <c r="FY29" s="733"/>
      <c r="FZ29" s="733"/>
      <c r="GA29" s="733"/>
      <c r="GB29" s="733"/>
      <c r="GC29" s="733"/>
      <c r="GD29" s="733"/>
      <c r="GE29" s="733"/>
      <c r="GF29" s="733"/>
      <c r="GG29" s="733"/>
      <c r="GH29" s="733"/>
      <c r="GI29" s="733"/>
      <c r="GJ29" s="733"/>
      <c r="GK29" s="733"/>
      <c r="GL29" s="733"/>
      <c r="GM29" s="733"/>
      <c r="GN29" s="733"/>
      <c r="GO29" s="733"/>
      <c r="GP29" s="733"/>
      <c r="GQ29" s="733"/>
      <c r="GR29" s="733"/>
      <c r="GS29" s="733"/>
      <c r="GT29" s="733"/>
      <c r="GU29" s="733"/>
      <c r="GV29" s="733"/>
      <c r="GW29" s="733"/>
      <c r="GX29" s="733"/>
      <c r="GY29" s="733"/>
      <c r="GZ29" s="733"/>
      <c r="HA29" s="733"/>
      <c r="HB29" s="733"/>
      <c r="HC29" s="733"/>
      <c r="HD29" s="733"/>
      <c r="HE29" s="733"/>
      <c r="HF29" s="733"/>
      <c r="HG29" s="733"/>
      <c r="HH29" s="733"/>
      <c r="HI29" s="733"/>
      <c r="HJ29" s="733"/>
      <c r="HK29" s="733"/>
      <c r="HL29" s="733"/>
      <c r="HM29" s="733"/>
      <c r="HN29" s="733"/>
      <c r="HO29" s="733"/>
      <c r="HP29" s="733"/>
      <c r="HQ29" s="733"/>
      <c r="HR29" s="733"/>
      <c r="HS29" s="733"/>
      <c r="HT29" s="733"/>
      <c r="HU29" s="733"/>
      <c r="HV29" s="733"/>
      <c r="HW29" s="733"/>
      <c r="HX29" s="733"/>
      <c r="HY29" s="733"/>
      <c r="HZ29" s="733"/>
      <c r="IA29" s="733"/>
      <c r="IB29" s="733"/>
      <c r="IC29" s="733"/>
      <c r="ID29" s="733"/>
      <c r="IE29" s="733"/>
      <c r="IF29" s="733"/>
      <c r="IG29" s="733"/>
      <c r="IH29" s="733"/>
      <c r="II29" s="733"/>
      <c r="IJ29" s="733"/>
      <c r="IK29" s="733"/>
      <c r="IL29" s="733"/>
      <c r="IM29" s="733"/>
      <c r="IN29" s="733"/>
      <c r="IO29" s="733"/>
      <c r="IP29" s="733"/>
      <c r="IQ29" s="733"/>
      <c r="IR29" s="733"/>
      <c r="IS29" s="733"/>
      <c r="IT29" s="733"/>
      <c r="IU29" s="733"/>
      <c r="IV29" s="733"/>
      <c r="IW29" s="733"/>
      <c r="IX29" s="733"/>
      <c r="IY29" s="733"/>
      <c r="IZ29" s="733"/>
      <c r="JA29" s="733"/>
      <c r="JB29" s="733"/>
      <c r="JC29" s="733"/>
      <c r="JD29" s="733"/>
    </row>
    <row r="30" spans="1:264" s="742" customFormat="1" x14ac:dyDescent="0.25">
      <c r="A30" s="732" t="s">
        <v>2652</v>
      </c>
      <c r="B30" s="733"/>
      <c r="C30" s="743" t="s">
        <v>2810</v>
      </c>
      <c r="D30" s="739"/>
      <c r="E30" s="744" t="s">
        <v>2813</v>
      </c>
      <c r="F30" s="739"/>
      <c r="G30" s="739" t="s">
        <v>1517</v>
      </c>
      <c r="H30" s="736">
        <v>814002012097</v>
      </c>
      <c r="I30" s="733"/>
      <c r="J30" s="733"/>
      <c r="K30" s="737" t="s">
        <v>289</v>
      </c>
      <c r="L30" s="735" t="s">
        <v>325</v>
      </c>
      <c r="M30" s="738">
        <v>79.989999999999995</v>
      </c>
      <c r="N30" s="733"/>
      <c r="O30" s="739">
        <v>10</v>
      </c>
      <c r="P30" s="745">
        <v>1.5</v>
      </c>
      <c r="Q30" s="745">
        <v>9.3000000000000007</v>
      </c>
      <c r="R30" s="745">
        <v>8.1999999999999993</v>
      </c>
      <c r="S30" s="745">
        <v>1.1399999999999999</v>
      </c>
      <c r="T30" s="745">
        <v>1.6</v>
      </c>
      <c r="U30" s="745">
        <v>9.6999999999999993</v>
      </c>
      <c r="V30" s="745">
        <v>8.5</v>
      </c>
      <c r="W30" s="756">
        <v>1.4</v>
      </c>
      <c r="X30" s="762"/>
      <c r="Y30" s="733"/>
      <c r="Z30" s="733"/>
      <c r="AA30" s="770"/>
      <c r="AB30" s="739"/>
      <c r="AC30" s="733"/>
      <c r="AD30" s="733"/>
      <c r="AE30" s="770"/>
      <c r="AF30" s="739"/>
      <c r="AG30" s="733"/>
      <c r="AH30" s="733"/>
      <c r="AI30" s="733"/>
      <c r="AJ30" s="733"/>
      <c r="AK30" s="733"/>
      <c r="AL30" s="733"/>
      <c r="AM30" s="733"/>
      <c r="AN30" s="733"/>
      <c r="AO30" s="733"/>
      <c r="AP30" s="733"/>
      <c r="AQ30" s="733"/>
      <c r="AR30" s="733"/>
      <c r="AS30" s="733"/>
      <c r="AT30" s="733"/>
      <c r="AU30" s="733"/>
      <c r="AV30" s="733"/>
      <c r="AW30" s="733"/>
      <c r="AX30" s="733"/>
      <c r="AY30" s="733"/>
      <c r="AZ30" s="733"/>
      <c r="BA30" s="733"/>
      <c r="BB30" s="733"/>
      <c r="BC30" s="733"/>
      <c r="BD30" s="733"/>
      <c r="BE30" s="733"/>
      <c r="BF30" s="733"/>
      <c r="BG30" s="733"/>
      <c r="BH30" s="733"/>
      <c r="BI30" s="733"/>
      <c r="BJ30" s="733"/>
      <c r="BK30" s="733"/>
      <c r="BL30" s="733"/>
      <c r="BM30" s="733"/>
      <c r="BN30" s="733"/>
      <c r="BO30" s="733"/>
      <c r="BP30" s="733"/>
      <c r="BQ30" s="733"/>
      <c r="BR30" s="733"/>
      <c r="BS30" s="733"/>
      <c r="BT30" s="733"/>
      <c r="BU30" s="733"/>
      <c r="BV30" s="733"/>
      <c r="BW30" s="733"/>
      <c r="BX30" s="733"/>
      <c r="BY30" s="733"/>
      <c r="BZ30" s="733"/>
      <c r="CA30" s="733"/>
      <c r="CB30" s="733"/>
      <c r="CC30" s="733"/>
      <c r="CD30" s="733"/>
      <c r="CE30" s="733"/>
      <c r="CF30" s="733"/>
      <c r="CG30" s="733"/>
      <c r="CH30" s="733"/>
      <c r="CI30" s="733"/>
      <c r="CJ30" s="733"/>
      <c r="CK30" s="733"/>
      <c r="CL30" s="733"/>
      <c r="CM30" s="733"/>
      <c r="CN30" s="733"/>
      <c r="CO30" s="733"/>
      <c r="CP30" s="733"/>
      <c r="CQ30" s="733"/>
      <c r="CR30" s="733"/>
      <c r="CS30" s="733"/>
      <c r="CT30" s="733"/>
      <c r="CU30" s="733"/>
      <c r="CV30" s="733"/>
      <c r="CW30" s="733"/>
      <c r="CX30" s="733"/>
      <c r="CY30" s="733"/>
      <c r="CZ30" s="733"/>
      <c r="DA30" s="733"/>
      <c r="DB30" s="733"/>
      <c r="DC30" s="733"/>
      <c r="DD30" s="733"/>
      <c r="DE30" s="733"/>
      <c r="DF30" s="733"/>
      <c r="DG30" s="733"/>
      <c r="DH30" s="733"/>
      <c r="DI30" s="733"/>
      <c r="DJ30" s="733"/>
      <c r="DK30" s="733"/>
      <c r="DL30" s="733"/>
      <c r="DM30" s="733"/>
      <c r="DN30" s="733"/>
      <c r="DO30" s="733"/>
      <c r="DP30" s="733"/>
      <c r="DQ30" s="733"/>
      <c r="DR30" s="733"/>
      <c r="DS30" s="733"/>
      <c r="DT30" s="733"/>
      <c r="DU30" s="733"/>
      <c r="DV30" s="733"/>
      <c r="DW30" s="733"/>
      <c r="DX30" s="733"/>
      <c r="DY30" s="733"/>
      <c r="DZ30" s="733"/>
      <c r="EA30" s="733"/>
      <c r="EB30" s="733"/>
      <c r="EC30" s="733"/>
      <c r="ED30" s="733"/>
      <c r="EE30" s="733"/>
      <c r="EF30" s="733"/>
      <c r="EG30" s="733"/>
      <c r="EH30" s="733"/>
      <c r="EI30" s="733"/>
      <c r="EJ30" s="733"/>
      <c r="EK30" s="733"/>
      <c r="EL30" s="733"/>
      <c r="EM30" s="733"/>
      <c r="EN30" s="733"/>
      <c r="EO30" s="733"/>
      <c r="EP30" s="733"/>
      <c r="EQ30" s="733"/>
      <c r="ER30" s="733"/>
      <c r="ES30" s="733"/>
      <c r="ET30" s="733"/>
      <c r="EU30" s="733"/>
      <c r="EV30" s="733"/>
      <c r="EW30" s="733"/>
      <c r="EX30" s="733"/>
      <c r="EY30" s="733"/>
      <c r="EZ30" s="733"/>
      <c r="FA30" s="733"/>
      <c r="FB30" s="733"/>
      <c r="FC30" s="733"/>
      <c r="FD30" s="733"/>
      <c r="FE30" s="733"/>
      <c r="FF30" s="733"/>
      <c r="FG30" s="733"/>
      <c r="FH30" s="733"/>
      <c r="FI30" s="733"/>
      <c r="FJ30" s="733"/>
      <c r="FK30" s="733"/>
      <c r="FL30" s="733"/>
      <c r="FM30" s="733"/>
      <c r="FN30" s="733"/>
      <c r="FO30" s="733"/>
      <c r="FP30" s="733"/>
      <c r="FQ30" s="733"/>
      <c r="FR30" s="733"/>
      <c r="FS30" s="733"/>
      <c r="FT30" s="733"/>
      <c r="FU30" s="733"/>
      <c r="FV30" s="733"/>
      <c r="FW30" s="733"/>
      <c r="FX30" s="733"/>
      <c r="FY30" s="733"/>
      <c r="FZ30" s="733"/>
      <c r="GA30" s="733"/>
      <c r="GB30" s="733"/>
      <c r="GC30" s="733"/>
      <c r="GD30" s="733"/>
      <c r="GE30" s="733"/>
      <c r="GF30" s="733"/>
      <c r="GG30" s="733"/>
      <c r="GH30" s="733"/>
      <c r="GI30" s="733"/>
      <c r="GJ30" s="733"/>
      <c r="GK30" s="733"/>
      <c r="GL30" s="733"/>
      <c r="GM30" s="733"/>
      <c r="GN30" s="733"/>
      <c r="GO30" s="733"/>
      <c r="GP30" s="733"/>
      <c r="GQ30" s="733"/>
      <c r="GR30" s="733"/>
      <c r="GS30" s="733"/>
      <c r="GT30" s="733"/>
      <c r="GU30" s="733"/>
      <c r="GV30" s="733"/>
      <c r="GW30" s="733"/>
      <c r="GX30" s="733"/>
      <c r="GY30" s="733"/>
      <c r="GZ30" s="733"/>
      <c r="HA30" s="733"/>
      <c r="HB30" s="733"/>
      <c r="HC30" s="733"/>
      <c r="HD30" s="733"/>
      <c r="HE30" s="733"/>
      <c r="HF30" s="733"/>
      <c r="HG30" s="733"/>
      <c r="HH30" s="733"/>
      <c r="HI30" s="733"/>
      <c r="HJ30" s="733"/>
      <c r="HK30" s="733"/>
      <c r="HL30" s="733"/>
      <c r="HM30" s="733"/>
      <c r="HN30" s="733"/>
      <c r="HO30" s="733"/>
      <c r="HP30" s="733"/>
      <c r="HQ30" s="733"/>
      <c r="HR30" s="733"/>
      <c r="HS30" s="733"/>
      <c r="HT30" s="733"/>
      <c r="HU30" s="733"/>
      <c r="HV30" s="733"/>
      <c r="HW30" s="733"/>
      <c r="HX30" s="733"/>
      <c r="HY30" s="733"/>
      <c r="HZ30" s="733"/>
      <c r="IA30" s="733"/>
      <c r="IB30" s="733"/>
      <c r="IC30" s="733"/>
      <c r="ID30" s="733"/>
      <c r="IE30" s="733"/>
      <c r="IF30" s="733"/>
      <c r="IG30" s="733"/>
      <c r="IH30" s="733"/>
      <c r="II30" s="733"/>
      <c r="IJ30" s="733"/>
      <c r="IK30" s="733"/>
      <c r="IL30" s="733"/>
      <c r="IM30" s="733"/>
      <c r="IN30" s="733"/>
      <c r="IO30" s="733"/>
      <c r="IP30" s="733"/>
      <c r="IQ30" s="733"/>
      <c r="IR30" s="733"/>
      <c r="IS30" s="733"/>
      <c r="IT30" s="733"/>
      <c r="IU30" s="733"/>
      <c r="IV30" s="733"/>
      <c r="IW30" s="733"/>
      <c r="IX30" s="733"/>
      <c r="IY30" s="733"/>
      <c r="IZ30" s="733"/>
      <c r="JA30" s="733"/>
      <c r="JB30" s="733"/>
      <c r="JC30" s="733"/>
      <c r="JD30" s="733"/>
    </row>
    <row r="31" spans="1:264" s="742" customFormat="1" x14ac:dyDescent="0.25">
      <c r="A31" s="732" t="s">
        <v>2652</v>
      </c>
      <c r="B31" s="733"/>
      <c r="C31" s="743" t="s">
        <v>2811</v>
      </c>
      <c r="D31" s="739"/>
      <c r="E31" s="744"/>
      <c r="F31" s="739"/>
      <c r="G31" s="739"/>
      <c r="H31" s="736">
        <v>814002012066</v>
      </c>
      <c r="I31" s="733"/>
      <c r="J31" s="733"/>
      <c r="K31" s="737"/>
      <c r="L31" s="735" t="s">
        <v>325</v>
      </c>
      <c r="M31" s="738">
        <v>79.95</v>
      </c>
      <c r="N31" s="733"/>
      <c r="O31" s="739"/>
      <c r="P31" s="746"/>
      <c r="Q31" s="741"/>
      <c r="R31" s="741"/>
      <c r="S31" s="741"/>
      <c r="T31" s="747"/>
      <c r="U31" s="747"/>
      <c r="V31" s="747"/>
      <c r="W31" s="747"/>
      <c r="X31" s="762"/>
      <c r="Y31" s="733"/>
      <c r="Z31" s="733"/>
      <c r="AA31" s="770"/>
      <c r="AB31" s="739"/>
      <c r="AC31" s="733"/>
      <c r="AD31" s="733"/>
      <c r="AE31" s="770"/>
      <c r="AF31" s="739"/>
      <c r="AG31" s="733"/>
      <c r="AH31" s="733"/>
      <c r="AI31" s="733"/>
      <c r="AJ31" s="733"/>
      <c r="AK31" s="733"/>
      <c r="AL31" s="733"/>
      <c r="AM31" s="733"/>
      <c r="AN31" s="733"/>
      <c r="AO31" s="733"/>
      <c r="AP31" s="733"/>
      <c r="AQ31" s="733"/>
      <c r="AR31" s="733"/>
      <c r="AS31" s="733"/>
      <c r="AT31" s="733"/>
      <c r="AU31" s="733"/>
      <c r="AV31" s="733"/>
      <c r="AW31" s="733"/>
      <c r="AX31" s="733"/>
      <c r="AY31" s="733"/>
      <c r="AZ31" s="733"/>
      <c r="BA31" s="733"/>
      <c r="BB31" s="733"/>
      <c r="BC31" s="733"/>
      <c r="BD31" s="733"/>
      <c r="BE31" s="733"/>
      <c r="BF31" s="733"/>
      <c r="BG31" s="733"/>
      <c r="BH31" s="733"/>
      <c r="BI31" s="733"/>
      <c r="BJ31" s="733"/>
      <c r="BK31" s="733"/>
      <c r="BL31" s="733"/>
      <c r="BM31" s="733"/>
      <c r="BN31" s="733"/>
      <c r="BO31" s="733"/>
      <c r="BP31" s="733"/>
      <c r="BQ31" s="733"/>
      <c r="BR31" s="733"/>
      <c r="BS31" s="733"/>
      <c r="BT31" s="733"/>
      <c r="BU31" s="733"/>
      <c r="BV31" s="733"/>
      <c r="BW31" s="733"/>
      <c r="BX31" s="733"/>
      <c r="BY31" s="733"/>
      <c r="BZ31" s="733"/>
      <c r="CA31" s="733"/>
      <c r="CB31" s="733"/>
      <c r="CC31" s="733"/>
      <c r="CD31" s="733"/>
      <c r="CE31" s="733"/>
      <c r="CF31" s="733"/>
      <c r="CG31" s="733"/>
      <c r="CH31" s="733"/>
      <c r="CI31" s="733"/>
      <c r="CJ31" s="733"/>
      <c r="CK31" s="733"/>
      <c r="CL31" s="733"/>
      <c r="CM31" s="733"/>
      <c r="CN31" s="733"/>
      <c r="CO31" s="733"/>
      <c r="CP31" s="733"/>
      <c r="CQ31" s="733"/>
      <c r="CR31" s="733"/>
      <c r="CS31" s="733"/>
      <c r="CT31" s="733"/>
      <c r="CU31" s="733"/>
      <c r="CV31" s="733"/>
      <c r="CW31" s="733"/>
      <c r="CX31" s="733"/>
      <c r="CY31" s="733"/>
      <c r="CZ31" s="733"/>
      <c r="DA31" s="733"/>
      <c r="DB31" s="733"/>
      <c r="DC31" s="733"/>
      <c r="DD31" s="733"/>
      <c r="DE31" s="733"/>
      <c r="DF31" s="733"/>
      <c r="DG31" s="733"/>
      <c r="DH31" s="733"/>
      <c r="DI31" s="733"/>
      <c r="DJ31" s="733"/>
      <c r="DK31" s="733"/>
      <c r="DL31" s="733"/>
      <c r="DM31" s="733"/>
      <c r="DN31" s="733"/>
      <c r="DO31" s="733"/>
      <c r="DP31" s="733"/>
      <c r="DQ31" s="733"/>
      <c r="DR31" s="733"/>
      <c r="DS31" s="733"/>
      <c r="DT31" s="733"/>
      <c r="DU31" s="733"/>
      <c r="DV31" s="733"/>
      <c r="DW31" s="733"/>
      <c r="DX31" s="733"/>
      <c r="DY31" s="733"/>
      <c r="DZ31" s="733"/>
      <c r="EA31" s="733"/>
      <c r="EB31" s="733"/>
      <c r="EC31" s="733"/>
      <c r="ED31" s="733"/>
      <c r="EE31" s="733"/>
      <c r="EF31" s="733"/>
      <c r="EG31" s="733"/>
      <c r="EH31" s="733"/>
      <c r="EI31" s="733"/>
      <c r="EJ31" s="733"/>
      <c r="EK31" s="733"/>
      <c r="EL31" s="733"/>
      <c r="EM31" s="733"/>
      <c r="EN31" s="733"/>
      <c r="EO31" s="733"/>
      <c r="EP31" s="733"/>
      <c r="EQ31" s="733"/>
      <c r="ER31" s="733"/>
      <c r="ES31" s="733"/>
      <c r="ET31" s="733"/>
      <c r="EU31" s="733"/>
      <c r="EV31" s="733"/>
      <c r="EW31" s="733"/>
      <c r="EX31" s="733"/>
      <c r="EY31" s="733"/>
      <c r="EZ31" s="733"/>
      <c r="FA31" s="733"/>
      <c r="FB31" s="733"/>
      <c r="FC31" s="733"/>
      <c r="FD31" s="733"/>
      <c r="FE31" s="733"/>
      <c r="FF31" s="733"/>
      <c r="FG31" s="733"/>
      <c r="FH31" s="733"/>
      <c r="FI31" s="733"/>
      <c r="FJ31" s="733"/>
      <c r="FK31" s="733"/>
      <c r="FL31" s="733"/>
      <c r="FM31" s="733"/>
      <c r="FN31" s="733"/>
      <c r="FO31" s="733"/>
      <c r="FP31" s="733"/>
      <c r="FQ31" s="733"/>
      <c r="FR31" s="733"/>
      <c r="FS31" s="733"/>
      <c r="FT31" s="733"/>
      <c r="FU31" s="733"/>
      <c r="FV31" s="733"/>
      <c r="FW31" s="733"/>
      <c r="FX31" s="733"/>
      <c r="FY31" s="733"/>
      <c r="FZ31" s="733"/>
      <c r="GA31" s="733"/>
      <c r="GB31" s="733"/>
      <c r="GC31" s="733"/>
      <c r="GD31" s="733"/>
      <c r="GE31" s="733"/>
      <c r="GF31" s="733"/>
      <c r="GG31" s="733"/>
      <c r="GH31" s="733"/>
      <c r="GI31" s="733"/>
      <c r="GJ31" s="733"/>
      <c r="GK31" s="733"/>
      <c r="GL31" s="733"/>
      <c r="GM31" s="733"/>
      <c r="GN31" s="733"/>
      <c r="GO31" s="733"/>
      <c r="GP31" s="733"/>
      <c r="GQ31" s="733"/>
      <c r="GR31" s="733"/>
      <c r="GS31" s="733"/>
      <c r="GT31" s="733"/>
      <c r="GU31" s="733"/>
      <c r="GV31" s="733"/>
      <c r="GW31" s="733"/>
      <c r="GX31" s="733"/>
      <c r="GY31" s="733"/>
      <c r="GZ31" s="733"/>
      <c r="HA31" s="733"/>
      <c r="HB31" s="733"/>
      <c r="HC31" s="733"/>
      <c r="HD31" s="733"/>
      <c r="HE31" s="733"/>
      <c r="HF31" s="733"/>
      <c r="HG31" s="733"/>
      <c r="HH31" s="733"/>
      <c r="HI31" s="733"/>
      <c r="HJ31" s="733"/>
      <c r="HK31" s="733"/>
      <c r="HL31" s="733"/>
      <c r="HM31" s="733"/>
      <c r="HN31" s="733"/>
      <c r="HO31" s="733"/>
      <c r="HP31" s="733"/>
      <c r="HQ31" s="733"/>
      <c r="HR31" s="733"/>
      <c r="HS31" s="733"/>
      <c r="HT31" s="733"/>
      <c r="HU31" s="733"/>
      <c r="HV31" s="733"/>
      <c r="HW31" s="733"/>
      <c r="HX31" s="733"/>
      <c r="HY31" s="733"/>
      <c r="HZ31" s="733"/>
      <c r="IA31" s="733"/>
      <c r="IB31" s="733"/>
      <c r="IC31" s="733"/>
      <c r="ID31" s="733"/>
      <c r="IE31" s="733"/>
      <c r="IF31" s="733"/>
      <c r="IG31" s="733"/>
      <c r="IH31" s="733"/>
      <c r="II31" s="733"/>
      <c r="IJ31" s="733"/>
      <c r="IK31" s="733"/>
      <c r="IL31" s="733"/>
      <c r="IM31" s="733"/>
      <c r="IN31" s="733"/>
      <c r="IO31" s="733"/>
      <c r="IP31" s="733"/>
      <c r="IQ31" s="733"/>
      <c r="IR31" s="733"/>
      <c r="IS31" s="733"/>
      <c r="IT31" s="733"/>
      <c r="IU31" s="733"/>
      <c r="IV31" s="733"/>
      <c r="IW31" s="733"/>
      <c r="IX31" s="733"/>
      <c r="IY31" s="733"/>
      <c r="IZ31" s="733"/>
      <c r="JA31" s="733"/>
      <c r="JB31" s="733"/>
      <c r="JC31" s="733"/>
      <c r="JD31" s="733"/>
    </row>
    <row r="32" spans="1:264" s="91" customFormat="1" ht="15.6" x14ac:dyDescent="0.3">
      <c r="A32" s="722" t="s">
        <v>2834</v>
      </c>
      <c r="B32" s="39"/>
      <c r="C32" s="21"/>
      <c r="D32" s="39"/>
      <c r="E32" s="58"/>
      <c r="F32" s="39"/>
      <c r="G32" s="39"/>
      <c r="H32" s="665"/>
      <c r="I32" s="39"/>
      <c r="J32" s="39"/>
      <c r="K32" s="30"/>
      <c r="L32" s="58"/>
      <c r="M32" s="603"/>
      <c r="N32" s="39"/>
      <c r="O32" s="42"/>
      <c r="P32" s="666"/>
      <c r="Q32" s="661"/>
      <c r="R32" s="661"/>
      <c r="S32" s="661"/>
      <c r="T32" s="667"/>
      <c r="U32" s="667"/>
      <c r="V32" s="667"/>
      <c r="W32" s="667"/>
      <c r="X32" s="763"/>
      <c r="Y32" s="39"/>
      <c r="Z32" s="39"/>
      <c r="AA32" s="771"/>
      <c r="AB32" s="42"/>
      <c r="AC32" s="39"/>
      <c r="AD32" s="39"/>
      <c r="AE32" s="771"/>
      <c r="AF32" s="42"/>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c r="IV32" s="39"/>
      <c r="IW32" s="39"/>
      <c r="IX32" s="39"/>
      <c r="IY32" s="39"/>
      <c r="IZ32" s="39"/>
      <c r="JA32" s="39"/>
      <c r="JB32" s="39"/>
      <c r="JC32" s="39"/>
      <c r="JD32" s="39"/>
    </row>
    <row r="33" spans="1:264" s="92" customFormat="1" x14ac:dyDescent="0.25">
      <c r="A33" s="20" t="s">
        <v>2652</v>
      </c>
      <c r="B33" s="22"/>
      <c r="C33" s="24" t="s">
        <v>2835</v>
      </c>
      <c r="D33" s="39"/>
      <c r="E33" s="591" t="s">
        <v>2838</v>
      </c>
      <c r="F33" s="22"/>
      <c r="G33" s="22" t="s">
        <v>2841</v>
      </c>
      <c r="H33" s="665">
        <v>54269001773</v>
      </c>
      <c r="I33" s="178"/>
      <c r="J33" s="178"/>
      <c r="K33" s="30" t="s">
        <v>2943</v>
      </c>
      <c r="L33" s="47" t="s">
        <v>333</v>
      </c>
      <c r="M33" s="658">
        <v>14.99</v>
      </c>
      <c r="N33" s="39"/>
      <c r="O33" s="42">
        <v>10</v>
      </c>
      <c r="P33" s="659">
        <v>5.0000000000000001E-3</v>
      </c>
      <c r="Q33" s="660">
        <v>1.25</v>
      </c>
      <c r="R33" s="660">
        <v>0.9</v>
      </c>
      <c r="S33" s="660">
        <v>7.0000000000000007E-2</v>
      </c>
      <c r="T33" s="642">
        <v>0.06</v>
      </c>
      <c r="U33" s="642">
        <v>4.7</v>
      </c>
      <c r="V33" s="642">
        <v>3</v>
      </c>
      <c r="W33" s="642">
        <v>0.1</v>
      </c>
      <c r="X33" s="761" t="s">
        <v>66</v>
      </c>
      <c r="Y33" s="28" t="s">
        <v>66</v>
      </c>
      <c r="Z33" s="28" t="s">
        <v>66</v>
      </c>
      <c r="AA33" s="28" t="s">
        <v>66</v>
      </c>
      <c r="AB33" s="28" t="s">
        <v>66</v>
      </c>
      <c r="AC33" s="28" t="s">
        <v>66</v>
      </c>
      <c r="AD33" s="28" t="s">
        <v>66</v>
      </c>
      <c r="AE33" s="28" t="s">
        <v>66</v>
      </c>
      <c r="AF33" s="28"/>
      <c r="AG33" s="22"/>
      <c r="AH33" s="22"/>
      <c r="AI33" s="22"/>
      <c r="AJ33" s="22"/>
      <c r="AK33" s="22"/>
      <c r="AL33" s="22"/>
      <c r="AM33" s="22"/>
      <c r="AN33" s="22"/>
      <c r="AO33" s="178"/>
      <c r="AP33" s="178"/>
      <c r="AQ33" s="178"/>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c r="IV33" s="22"/>
      <c r="IW33" s="22"/>
      <c r="IX33" s="22"/>
      <c r="IY33" s="22"/>
      <c r="IZ33" s="22"/>
      <c r="JA33" s="22"/>
      <c r="JB33" s="22"/>
      <c r="JC33" s="22"/>
      <c r="JD33" s="22"/>
    </row>
    <row r="34" spans="1:264" s="92" customFormat="1" x14ac:dyDescent="0.25">
      <c r="A34" s="20" t="s">
        <v>2652</v>
      </c>
      <c r="B34" s="22"/>
      <c r="C34" s="24" t="s">
        <v>2836</v>
      </c>
      <c r="D34" s="39"/>
      <c r="E34" s="591" t="s">
        <v>2839</v>
      </c>
      <c r="F34" s="22"/>
      <c r="G34" s="22" t="s">
        <v>2841</v>
      </c>
      <c r="H34" s="665">
        <v>54269001766</v>
      </c>
      <c r="I34" s="178"/>
      <c r="J34" s="178"/>
      <c r="K34" s="30" t="s">
        <v>2943</v>
      </c>
      <c r="L34" s="47" t="s">
        <v>333</v>
      </c>
      <c r="M34" s="658">
        <v>19.989999999999998</v>
      </c>
      <c r="N34" s="39"/>
      <c r="O34" s="42">
        <v>10</v>
      </c>
      <c r="P34" s="659">
        <v>5.0000000000000001E-3</v>
      </c>
      <c r="Q34" s="660">
        <v>1.25</v>
      </c>
      <c r="R34" s="660">
        <v>0.9</v>
      </c>
      <c r="S34" s="660">
        <v>7.0000000000000007E-2</v>
      </c>
      <c r="T34" s="642">
        <v>0.06</v>
      </c>
      <c r="U34" s="642">
        <v>4.7</v>
      </c>
      <c r="V34" s="642">
        <v>3</v>
      </c>
      <c r="W34" s="642">
        <v>0.1</v>
      </c>
      <c r="X34" s="761" t="s">
        <v>66</v>
      </c>
      <c r="Y34" s="28" t="s">
        <v>66</v>
      </c>
      <c r="Z34" s="28" t="s">
        <v>66</v>
      </c>
      <c r="AA34" s="28" t="s">
        <v>66</v>
      </c>
      <c r="AB34" s="28" t="s">
        <v>66</v>
      </c>
      <c r="AC34" s="28" t="s">
        <v>66</v>
      </c>
      <c r="AD34" s="28" t="s">
        <v>66</v>
      </c>
      <c r="AE34" s="28" t="s">
        <v>66</v>
      </c>
      <c r="AF34" s="28"/>
      <c r="AG34" s="22"/>
      <c r="AH34" s="22"/>
      <c r="AI34" s="22"/>
      <c r="AJ34" s="22"/>
      <c r="AK34" s="22"/>
      <c r="AL34" s="22"/>
      <c r="AM34" s="22"/>
      <c r="AN34" s="22"/>
      <c r="AO34" s="178"/>
      <c r="AP34" s="178"/>
      <c r="AQ34" s="178"/>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c r="IV34" s="22"/>
      <c r="IW34" s="22"/>
      <c r="IX34" s="22"/>
      <c r="IY34" s="22"/>
      <c r="IZ34" s="22"/>
      <c r="JA34" s="22"/>
      <c r="JB34" s="22"/>
      <c r="JC34" s="22"/>
      <c r="JD34" s="22"/>
    </row>
    <row r="35" spans="1:264" s="92" customFormat="1" ht="13.8" x14ac:dyDescent="0.3">
      <c r="A35" s="20" t="s">
        <v>2652</v>
      </c>
      <c r="B35" s="141"/>
      <c r="C35" s="24" t="s">
        <v>2837</v>
      </c>
      <c r="D35" s="39"/>
      <c r="E35" s="591" t="s">
        <v>2840</v>
      </c>
      <c r="F35" s="20"/>
      <c r="G35" s="20" t="s">
        <v>2841</v>
      </c>
      <c r="H35" s="664">
        <v>54269001759</v>
      </c>
      <c r="I35" s="140"/>
      <c r="J35" s="140"/>
      <c r="K35" s="30" t="s">
        <v>2943</v>
      </c>
      <c r="L35" s="47" t="s">
        <v>333</v>
      </c>
      <c r="M35" s="7">
        <v>39.99</v>
      </c>
      <c r="N35" s="37"/>
      <c r="O35" s="37">
        <v>10</v>
      </c>
      <c r="P35" s="621">
        <v>5.0000000000000001E-3</v>
      </c>
      <c r="Q35" s="35">
        <v>1.25</v>
      </c>
      <c r="R35" s="35">
        <v>0.9</v>
      </c>
      <c r="S35" s="151">
        <v>7.0000000000000007E-2</v>
      </c>
      <c r="T35" s="35">
        <v>0.06</v>
      </c>
      <c r="U35" s="35">
        <v>4.7</v>
      </c>
      <c r="V35" s="35">
        <v>3</v>
      </c>
      <c r="W35" s="35">
        <v>0.1</v>
      </c>
      <c r="X35" s="761" t="s">
        <v>66</v>
      </c>
      <c r="Y35" s="28" t="s">
        <v>66</v>
      </c>
      <c r="Z35" s="28" t="s">
        <v>66</v>
      </c>
      <c r="AA35" s="28" t="s">
        <v>66</v>
      </c>
      <c r="AB35" s="28" t="s">
        <v>66</v>
      </c>
      <c r="AC35" s="28" t="s">
        <v>66</v>
      </c>
      <c r="AD35" s="28" t="s">
        <v>66</v>
      </c>
      <c r="AE35" s="28" t="s">
        <v>66</v>
      </c>
      <c r="AF35" s="135"/>
      <c r="AG35" s="84"/>
      <c r="AH35" s="657"/>
      <c r="AI35" s="84"/>
      <c r="AJ35" s="84"/>
      <c r="AK35" s="84"/>
      <c r="AL35" s="39"/>
      <c r="AM35" s="39"/>
      <c r="AN35" s="39"/>
      <c r="AO35" s="488"/>
      <c r="AP35" s="178"/>
      <c r="AQ35" s="178"/>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row>
    <row r="36" spans="1:264" s="92" customFormat="1" ht="13.8" x14ac:dyDescent="0.3">
      <c r="A36" s="20" t="s">
        <v>2652</v>
      </c>
      <c r="B36" s="141"/>
      <c r="C36" s="24" t="s">
        <v>2944</v>
      </c>
      <c r="D36" s="39"/>
      <c r="E36" s="591" t="s">
        <v>2945</v>
      </c>
      <c r="F36" s="20"/>
      <c r="G36" s="20" t="s">
        <v>2841</v>
      </c>
      <c r="H36" s="664">
        <v>54269002411</v>
      </c>
      <c r="I36" s="140"/>
      <c r="J36" s="140"/>
      <c r="K36" s="30" t="s">
        <v>2943</v>
      </c>
      <c r="L36" s="47" t="s">
        <v>333</v>
      </c>
      <c r="M36" s="7"/>
      <c r="N36" s="37"/>
      <c r="O36" s="37">
        <v>10</v>
      </c>
      <c r="P36" s="621">
        <v>5.0000000000000001E-3</v>
      </c>
      <c r="Q36" s="35">
        <v>1.25</v>
      </c>
      <c r="R36" s="35">
        <v>0.9</v>
      </c>
      <c r="S36" s="151">
        <v>7.0000000000000007E-2</v>
      </c>
      <c r="T36" s="35">
        <v>0.06</v>
      </c>
      <c r="U36" s="35">
        <v>4.7</v>
      </c>
      <c r="V36" s="35">
        <v>3</v>
      </c>
      <c r="W36" s="35">
        <v>0.1</v>
      </c>
      <c r="X36" s="761" t="s">
        <v>66</v>
      </c>
      <c r="Y36" s="28" t="s">
        <v>66</v>
      </c>
      <c r="Z36" s="28" t="s">
        <v>66</v>
      </c>
      <c r="AA36" s="28" t="s">
        <v>66</v>
      </c>
      <c r="AB36" s="28" t="s">
        <v>66</v>
      </c>
      <c r="AC36" s="28" t="s">
        <v>66</v>
      </c>
      <c r="AD36" s="28" t="s">
        <v>66</v>
      </c>
      <c r="AE36" s="28" t="s">
        <v>66</v>
      </c>
      <c r="AF36" s="135"/>
      <c r="AG36" s="84"/>
      <c r="AH36" s="657"/>
      <c r="AI36" s="84"/>
      <c r="AJ36" s="84"/>
      <c r="AK36" s="84"/>
      <c r="AL36" s="39"/>
      <c r="AM36" s="39"/>
      <c r="AN36" s="39"/>
      <c r="AO36" s="488"/>
      <c r="AP36" s="178"/>
      <c r="AQ36" s="178"/>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c r="IW36" s="22"/>
      <c r="IX36" s="22"/>
      <c r="IY36" s="22"/>
      <c r="IZ36" s="22"/>
      <c r="JA36" s="22"/>
      <c r="JB36" s="22"/>
      <c r="JC36" s="22"/>
      <c r="JD36" s="22"/>
    </row>
    <row r="37" spans="1:264" s="91" customFormat="1" ht="15.6" x14ac:dyDescent="0.3">
      <c r="A37" s="108" t="s">
        <v>2946</v>
      </c>
      <c r="B37" s="141"/>
      <c r="C37" s="21"/>
      <c r="D37" s="39"/>
      <c r="E37" s="58"/>
      <c r="F37" s="20"/>
      <c r="G37" s="20"/>
      <c r="H37" s="664"/>
      <c r="I37" s="30"/>
      <c r="J37" s="30"/>
      <c r="K37" s="30"/>
      <c r="L37" s="261"/>
      <c r="M37" s="7"/>
      <c r="N37" s="37"/>
      <c r="O37" s="37"/>
      <c r="P37" s="35"/>
      <c r="Q37" s="35"/>
      <c r="R37" s="35"/>
      <c r="S37" s="151"/>
      <c r="T37" s="35"/>
      <c r="U37" s="35"/>
      <c r="V37" s="35"/>
      <c r="W37" s="35"/>
      <c r="X37" s="759"/>
      <c r="Y37" s="35"/>
      <c r="Z37" s="35"/>
      <c r="AA37" s="767"/>
      <c r="AB37" s="35"/>
      <c r="AC37" s="35"/>
      <c r="AD37" s="35"/>
      <c r="AE37" s="767"/>
      <c r="AF37" s="35"/>
      <c r="AG37" s="727"/>
      <c r="AH37" s="728"/>
      <c r="AI37" s="727"/>
      <c r="AJ37" s="727"/>
      <c r="AK37" s="727"/>
      <c r="AL37" s="39"/>
      <c r="AM37" s="39"/>
      <c r="AN37" s="39"/>
      <c r="AO37" s="61"/>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c r="IU37" s="39"/>
      <c r="IV37" s="39"/>
      <c r="IW37" s="39"/>
      <c r="IX37" s="39"/>
      <c r="IY37" s="39"/>
      <c r="IZ37" s="39"/>
      <c r="JA37" s="39"/>
      <c r="JB37" s="39"/>
      <c r="JC37" s="39"/>
      <c r="JD37" s="39"/>
    </row>
    <row r="38" spans="1:264" s="92" customFormat="1" ht="13.8" x14ac:dyDescent="0.3">
      <c r="A38" s="20" t="s">
        <v>2652</v>
      </c>
      <c r="B38" s="141"/>
      <c r="C38" s="24" t="s">
        <v>2842</v>
      </c>
      <c r="D38" s="39"/>
      <c r="E38" s="591" t="s">
        <v>2848</v>
      </c>
      <c r="F38" s="290"/>
      <c r="G38" s="20" t="s">
        <v>1517</v>
      </c>
      <c r="H38" s="664">
        <v>814002011915</v>
      </c>
      <c r="I38" s="140"/>
      <c r="J38" s="140"/>
      <c r="K38" s="30" t="s">
        <v>108</v>
      </c>
      <c r="L38" s="261" t="s">
        <v>325</v>
      </c>
      <c r="M38" s="7">
        <v>169</v>
      </c>
      <c r="N38" s="37"/>
      <c r="O38" s="37">
        <v>40</v>
      </c>
      <c r="P38" s="35">
        <v>0.4</v>
      </c>
      <c r="Q38" s="35">
        <v>5.75</v>
      </c>
      <c r="R38" s="35">
        <v>2.25</v>
      </c>
      <c r="S38" s="151">
        <v>2.1</v>
      </c>
      <c r="T38" s="35">
        <v>0.8</v>
      </c>
      <c r="U38" s="35">
        <v>7.2</v>
      </c>
      <c r="V38" s="35">
        <v>4.8</v>
      </c>
      <c r="W38" s="35">
        <v>2.4</v>
      </c>
      <c r="X38" s="759">
        <v>9</v>
      </c>
      <c r="Y38" s="35">
        <v>13.25</v>
      </c>
      <c r="Z38" s="35">
        <v>10.25</v>
      </c>
      <c r="AA38" s="767">
        <v>8.5</v>
      </c>
      <c r="AB38" s="35">
        <v>37.9</v>
      </c>
      <c r="AC38" s="35">
        <v>21</v>
      </c>
      <c r="AD38" s="35">
        <v>14</v>
      </c>
      <c r="AE38" s="767">
        <v>18</v>
      </c>
      <c r="AF38" s="135"/>
      <c r="AG38" s="84"/>
      <c r="AH38" s="657"/>
      <c r="AI38" s="84"/>
      <c r="AJ38" s="84"/>
      <c r="AK38" s="84"/>
      <c r="AL38" s="39"/>
      <c r="AM38" s="39"/>
      <c r="AN38" s="39"/>
      <c r="AO38" s="488"/>
      <c r="AP38" s="178"/>
      <c r="AQ38" s="178"/>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row>
    <row r="39" spans="1:264" s="92" customFormat="1" x14ac:dyDescent="0.25">
      <c r="A39" s="20" t="s">
        <v>2652</v>
      </c>
      <c r="B39" s="141"/>
      <c r="C39" s="24" t="s">
        <v>2843</v>
      </c>
      <c r="D39" s="39"/>
      <c r="E39" s="591" t="s">
        <v>2849</v>
      </c>
      <c r="F39" s="290"/>
      <c r="G39" s="20" t="s">
        <v>2853</v>
      </c>
      <c r="H39" s="664">
        <v>814002011298</v>
      </c>
      <c r="I39" s="140"/>
      <c r="J39" s="140"/>
      <c r="K39" s="30" t="s">
        <v>108</v>
      </c>
      <c r="L39" s="261" t="s">
        <v>325</v>
      </c>
      <c r="M39" s="7">
        <v>995</v>
      </c>
      <c r="N39" s="37"/>
      <c r="O39" s="37">
        <v>2</v>
      </c>
      <c r="P39" s="35">
        <v>7.3</v>
      </c>
      <c r="Q39" s="35">
        <v>4.0999999999999996</v>
      </c>
      <c r="R39" s="35">
        <v>7.1</v>
      </c>
      <c r="S39" s="151">
        <v>8.8000000000000007</v>
      </c>
      <c r="T39" s="35">
        <v>12.2</v>
      </c>
      <c r="U39" s="35">
        <v>14.8</v>
      </c>
      <c r="V39" s="35">
        <v>12.3</v>
      </c>
      <c r="W39" s="35">
        <v>7.6</v>
      </c>
      <c r="X39" s="758"/>
      <c r="Y39" s="135"/>
      <c r="Z39" s="135"/>
      <c r="AA39" s="766"/>
      <c r="AB39" s="135"/>
      <c r="AC39" s="135"/>
      <c r="AD39" s="135"/>
      <c r="AE39" s="766"/>
      <c r="AF39" s="135"/>
      <c r="AG39" s="84" t="s">
        <v>2854</v>
      </c>
      <c r="AH39" s="723" t="s">
        <v>2855</v>
      </c>
      <c r="AI39" s="84" t="s">
        <v>2856</v>
      </c>
      <c r="AJ39" s="641"/>
      <c r="AK39" s="84"/>
      <c r="AL39" s="39"/>
      <c r="AM39" s="39"/>
      <c r="AN39" s="39"/>
      <c r="AO39" s="488"/>
      <c r="AP39" s="178"/>
      <c r="AQ39" s="178"/>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row>
    <row r="40" spans="1:264" s="92" customFormat="1" ht="13.8" x14ac:dyDescent="0.3">
      <c r="A40" s="20" t="s">
        <v>2652</v>
      </c>
      <c r="B40" s="141"/>
      <c r="C40" s="24" t="s">
        <v>2844</v>
      </c>
      <c r="D40" s="39"/>
      <c r="E40" s="591" t="s">
        <v>2850</v>
      </c>
      <c r="F40" s="290"/>
      <c r="G40" s="20" t="s">
        <v>2833</v>
      </c>
      <c r="H40" s="664">
        <v>855712000981</v>
      </c>
      <c r="I40" s="140"/>
      <c r="J40" s="140"/>
      <c r="K40" s="140"/>
      <c r="L40" s="261" t="s">
        <v>325</v>
      </c>
      <c r="M40" s="7">
        <v>139.99</v>
      </c>
      <c r="N40" s="37"/>
      <c r="O40" s="37">
        <v>20</v>
      </c>
      <c r="P40" s="35">
        <f>8.3/16</f>
        <v>0.51875000000000004</v>
      </c>
      <c r="Q40" s="35">
        <v>3.6</v>
      </c>
      <c r="R40" s="35">
        <v>4</v>
      </c>
      <c r="S40" s="151">
        <v>1.8</v>
      </c>
      <c r="T40" s="35">
        <v>0.7</v>
      </c>
      <c r="U40" s="35">
        <v>8.1999999999999993</v>
      </c>
      <c r="V40" s="35">
        <v>6.4</v>
      </c>
      <c r="W40" s="35">
        <v>3.2</v>
      </c>
      <c r="X40" s="758"/>
      <c r="Y40" s="135"/>
      <c r="Z40" s="135"/>
      <c r="AA40" s="766"/>
      <c r="AB40" s="135"/>
      <c r="AC40" s="135"/>
      <c r="AD40" s="135"/>
      <c r="AE40" s="766"/>
      <c r="AF40" s="135"/>
      <c r="AG40" s="84"/>
      <c r="AH40" s="657"/>
      <c r="AI40" s="84"/>
      <c r="AJ40" s="641"/>
      <c r="AK40" s="84"/>
      <c r="AL40" s="39"/>
      <c r="AM40" s="39"/>
      <c r="AN40" s="39"/>
      <c r="AO40" s="488"/>
      <c r="AP40" s="178"/>
      <c r="AQ40" s="178"/>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row>
    <row r="41" spans="1:264" s="92" customFormat="1" ht="13.8" x14ac:dyDescent="0.3">
      <c r="A41" s="20" t="s">
        <v>2652</v>
      </c>
      <c r="B41" s="141"/>
      <c r="C41" s="24" t="s">
        <v>2845</v>
      </c>
      <c r="D41" s="39"/>
      <c r="E41" s="591" t="s">
        <v>2851</v>
      </c>
      <c r="F41" s="290"/>
      <c r="G41" s="20" t="s">
        <v>2833</v>
      </c>
      <c r="H41" s="664">
        <v>814002011854</v>
      </c>
      <c r="I41" s="140"/>
      <c r="J41" s="140"/>
      <c r="K41" s="140"/>
      <c r="L41" s="261" t="s">
        <v>325</v>
      </c>
      <c r="M41" s="7">
        <v>14.99</v>
      </c>
      <c r="N41" s="37"/>
      <c r="O41" s="37">
        <v>10</v>
      </c>
      <c r="P41" s="35">
        <f>1.5/16</f>
        <v>9.375E-2</v>
      </c>
      <c r="Q41" s="35">
        <v>2.7</v>
      </c>
      <c r="R41" s="35">
        <v>0.7</v>
      </c>
      <c r="S41" s="151">
        <v>0.7</v>
      </c>
      <c r="T41" s="35">
        <v>0.12</v>
      </c>
      <c r="U41" s="35">
        <v>6.5</v>
      </c>
      <c r="V41" s="35">
        <v>2.9</v>
      </c>
      <c r="W41" s="35">
        <v>0.67</v>
      </c>
      <c r="X41" s="758"/>
      <c r="Y41" s="135"/>
      <c r="Z41" s="135"/>
      <c r="AA41" s="766"/>
      <c r="AB41" s="135"/>
      <c r="AC41" s="135"/>
      <c r="AD41" s="135"/>
      <c r="AE41" s="766"/>
      <c r="AF41" s="135"/>
      <c r="AG41" s="84"/>
      <c r="AH41" s="657"/>
      <c r="AI41" s="84"/>
      <c r="AJ41" s="641"/>
      <c r="AK41" s="84"/>
      <c r="AL41" s="39"/>
      <c r="AM41" s="39"/>
      <c r="AN41" s="39"/>
      <c r="AO41" s="488"/>
      <c r="AP41" s="178"/>
      <c r="AQ41" s="178"/>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c r="IT41" s="22"/>
      <c r="IU41" s="22"/>
      <c r="IV41" s="22"/>
      <c r="IW41" s="22"/>
      <c r="IX41" s="22"/>
      <c r="IY41" s="22"/>
      <c r="IZ41" s="22"/>
      <c r="JA41" s="22"/>
      <c r="JB41" s="22"/>
      <c r="JC41" s="22"/>
      <c r="JD41" s="22"/>
    </row>
    <row r="42" spans="1:264" s="92" customFormat="1" ht="13.8" x14ac:dyDescent="0.3">
      <c r="A42" s="20" t="s">
        <v>2652</v>
      </c>
      <c r="B42" s="141"/>
      <c r="C42" s="24" t="s">
        <v>2846</v>
      </c>
      <c r="D42" s="39"/>
      <c r="E42" s="591" t="s">
        <v>2852</v>
      </c>
      <c r="F42" s="290"/>
      <c r="G42" s="20" t="s">
        <v>2833</v>
      </c>
      <c r="H42" s="664">
        <v>814002011861</v>
      </c>
      <c r="I42" s="140"/>
      <c r="J42" s="140"/>
      <c r="K42" s="140"/>
      <c r="L42" s="261" t="s">
        <v>325</v>
      </c>
      <c r="M42" s="7">
        <v>19.989999999999998</v>
      </c>
      <c r="N42" s="37"/>
      <c r="O42" s="37">
        <v>10</v>
      </c>
      <c r="P42" s="135"/>
      <c r="Q42" s="135"/>
      <c r="R42" s="135"/>
      <c r="S42" s="149"/>
      <c r="T42" s="135"/>
      <c r="U42" s="135"/>
      <c r="V42" s="135"/>
      <c r="W42" s="135"/>
      <c r="X42" s="758"/>
      <c r="Y42" s="135"/>
      <c r="Z42" s="135"/>
      <c r="AA42" s="766"/>
      <c r="AB42" s="135"/>
      <c r="AC42" s="135"/>
      <c r="AD42" s="135"/>
      <c r="AE42" s="766"/>
      <c r="AF42" s="135"/>
      <c r="AG42" s="84"/>
      <c r="AH42" s="657"/>
      <c r="AI42" s="84"/>
      <c r="AJ42" s="84"/>
      <c r="AK42" s="84"/>
      <c r="AL42" s="39"/>
      <c r="AM42" s="39"/>
      <c r="AN42" s="39"/>
      <c r="AO42" s="488"/>
      <c r="AP42" s="178"/>
      <c r="AQ42" s="178"/>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c r="IT42" s="22"/>
      <c r="IU42" s="22"/>
      <c r="IV42" s="22"/>
      <c r="IW42" s="22"/>
      <c r="IX42" s="22"/>
      <c r="IY42" s="22"/>
      <c r="IZ42" s="22"/>
      <c r="JA42" s="22"/>
      <c r="JB42" s="22"/>
      <c r="JC42" s="22"/>
      <c r="JD42" s="22"/>
    </row>
    <row r="43" spans="1:264" s="92" customFormat="1" ht="13.8" x14ac:dyDescent="0.3">
      <c r="A43" s="20" t="s">
        <v>2652</v>
      </c>
      <c r="B43" s="141"/>
      <c r="C43" s="24" t="s">
        <v>2947</v>
      </c>
      <c r="D43" s="39"/>
      <c r="E43" s="591" t="s">
        <v>2948</v>
      </c>
      <c r="F43" s="290"/>
      <c r="G43" s="290"/>
      <c r="H43" s="664">
        <v>54269002152</v>
      </c>
      <c r="I43" s="140"/>
      <c r="J43" s="140"/>
      <c r="K43" s="140"/>
      <c r="L43" s="261" t="s">
        <v>325</v>
      </c>
      <c r="M43" s="7">
        <v>24.99</v>
      </c>
      <c r="N43" s="37"/>
      <c r="O43" s="37"/>
      <c r="P43" s="35">
        <f>0.7/16</f>
        <v>4.3749999999999997E-2</v>
      </c>
      <c r="Q43" s="35">
        <v>15.17</v>
      </c>
      <c r="R43" s="135"/>
      <c r="S43" s="149"/>
      <c r="T43" s="135"/>
      <c r="U43" s="135"/>
      <c r="V43" s="135"/>
      <c r="W43" s="135"/>
      <c r="X43" s="758"/>
      <c r="Y43" s="135"/>
      <c r="Z43" s="135"/>
      <c r="AA43" s="766"/>
      <c r="AB43" s="135"/>
      <c r="AC43" s="135"/>
      <c r="AD43" s="135"/>
      <c r="AE43" s="766"/>
      <c r="AF43" s="135"/>
      <c r="AG43" s="84"/>
      <c r="AH43" s="657"/>
      <c r="AI43" s="84"/>
      <c r="AJ43" s="84"/>
      <c r="AK43" s="84"/>
      <c r="AL43" s="39"/>
      <c r="AM43" s="39"/>
      <c r="AN43" s="39"/>
      <c r="AO43" s="54"/>
      <c r="AP43" s="39"/>
      <c r="AQ43" s="39"/>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row>
    <row r="44" spans="1:264" s="92" customFormat="1" ht="13.8" x14ac:dyDescent="0.3">
      <c r="A44" s="20" t="s">
        <v>2652</v>
      </c>
      <c r="B44" s="141"/>
      <c r="C44" s="24" t="s">
        <v>2949</v>
      </c>
      <c r="D44" s="39"/>
      <c r="E44" s="591" t="s">
        <v>2950</v>
      </c>
      <c r="F44" s="290"/>
      <c r="G44" s="20" t="s">
        <v>2821</v>
      </c>
      <c r="H44" s="729" t="s">
        <v>2951</v>
      </c>
      <c r="I44" s="140"/>
      <c r="J44" s="140"/>
      <c r="K44" s="140"/>
      <c r="L44" s="261" t="s">
        <v>325</v>
      </c>
      <c r="M44" s="7">
        <v>89.99</v>
      </c>
      <c r="N44" s="37"/>
      <c r="O44" s="37">
        <v>5</v>
      </c>
      <c r="P44" s="35">
        <f>12.8/16</f>
        <v>0.8</v>
      </c>
      <c r="Q44" s="35">
        <v>11</v>
      </c>
      <c r="R44" s="35">
        <v>5.2</v>
      </c>
      <c r="S44" s="151">
        <v>2.5</v>
      </c>
      <c r="T44" s="35">
        <v>0.9</v>
      </c>
      <c r="U44" s="35">
        <v>12.6</v>
      </c>
      <c r="V44" s="35">
        <v>7.3</v>
      </c>
      <c r="W44" s="35">
        <v>2.4</v>
      </c>
      <c r="X44" s="758"/>
      <c r="Y44" s="135"/>
      <c r="Z44" s="135"/>
      <c r="AA44" s="766"/>
      <c r="AB44" s="135"/>
      <c r="AC44" s="135"/>
      <c r="AD44" s="135"/>
      <c r="AE44" s="766"/>
      <c r="AF44" s="135"/>
      <c r="AG44" s="84"/>
      <c r="AH44" s="657"/>
      <c r="AI44" s="84"/>
      <c r="AJ44" s="84"/>
      <c r="AK44" s="84"/>
      <c r="AL44" s="39"/>
      <c r="AM44" s="39"/>
      <c r="AN44" s="39"/>
      <c r="AO44" s="54"/>
      <c r="AP44" s="39"/>
      <c r="AQ44" s="39"/>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row>
    <row r="45" spans="1:264" s="92" customFormat="1" ht="13.8" x14ac:dyDescent="0.3">
      <c r="A45" s="20" t="s">
        <v>2652</v>
      </c>
      <c r="B45" s="141"/>
      <c r="C45" s="24" t="s">
        <v>2952</v>
      </c>
      <c r="D45" s="39"/>
      <c r="E45" s="591" t="s">
        <v>2953</v>
      </c>
      <c r="F45" s="290"/>
      <c r="G45" s="20" t="s">
        <v>2821</v>
      </c>
      <c r="H45" s="729" t="s">
        <v>2954</v>
      </c>
      <c r="I45" s="140"/>
      <c r="J45" s="140"/>
      <c r="K45" s="140"/>
      <c r="L45" s="261" t="s">
        <v>325</v>
      </c>
      <c r="M45" s="7">
        <v>5.99</v>
      </c>
      <c r="N45" s="37"/>
      <c r="O45" s="37">
        <v>10</v>
      </c>
      <c r="P45" s="35">
        <v>0.05</v>
      </c>
      <c r="Q45" s="35">
        <v>2.85</v>
      </c>
      <c r="R45" s="35">
        <v>1.38</v>
      </c>
      <c r="S45" s="151">
        <v>1</v>
      </c>
      <c r="T45" s="35">
        <v>0.06</v>
      </c>
      <c r="U45" s="35">
        <v>3.1</v>
      </c>
      <c r="V45" s="35">
        <v>3</v>
      </c>
      <c r="W45" s="35">
        <v>1</v>
      </c>
      <c r="X45" s="758"/>
      <c r="Y45" s="135"/>
      <c r="Z45" s="135"/>
      <c r="AA45" s="766"/>
      <c r="AB45" s="135"/>
      <c r="AC45" s="135"/>
      <c r="AD45" s="135"/>
      <c r="AE45" s="766"/>
      <c r="AF45" s="135"/>
      <c r="AG45" s="84"/>
      <c r="AH45" s="657"/>
      <c r="AI45" s="84"/>
      <c r="AJ45" s="84"/>
      <c r="AK45" s="84"/>
      <c r="AL45" s="39"/>
      <c r="AM45" s="39"/>
      <c r="AN45" s="39"/>
      <c r="AO45" s="54"/>
      <c r="AP45" s="39"/>
      <c r="AQ45" s="39"/>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row>
    <row r="46" spans="1:264" s="92" customFormat="1" ht="13.8" x14ac:dyDescent="0.3">
      <c r="A46" s="20" t="s">
        <v>2652</v>
      </c>
      <c r="B46" s="141"/>
      <c r="C46" s="24" t="s">
        <v>2955</v>
      </c>
      <c r="D46" s="39"/>
      <c r="E46" s="591" t="s">
        <v>2956</v>
      </c>
      <c r="F46" s="290"/>
      <c r="G46" s="20" t="s">
        <v>2957</v>
      </c>
      <c r="H46" s="730">
        <v>855712000424</v>
      </c>
      <c r="I46" s="140"/>
      <c r="J46" s="140"/>
      <c r="K46" s="140"/>
      <c r="L46" s="261" t="s">
        <v>325</v>
      </c>
      <c r="M46" s="7">
        <v>29.99</v>
      </c>
      <c r="N46" s="37"/>
      <c r="O46" s="37">
        <v>20</v>
      </c>
      <c r="P46" s="35">
        <f>4.8/16</f>
        <v>0.3</v>
      </c>
      <c r="Q46" s="35">
        <v>7.3</v>
      </c>
      <c r="R46" s="35">
        <v>1.6</v>
      </c>
      <c r="S46" s="151">
        <v>2</v>
      </c>
      <c r="T46" s="35">
        <v>0.31</v>
      </c>
      <c r="U46" s="35">
        <v>7.3</v>
      </c>
      <c r="V46" s="35">
        <v>1.6</v>
      </c>
      <c r="W46" s="35">
        <v>2</v>
      </c>
      <c r="X46" s="758"/>
      <c r="Y46" s="135"/>
      <c r="Z46" s="135"/>
      <c r="AA46" s="766"/>
      <c r="AB46" s="135"/>
      <c r="AC46" s="135"/>
      <c r="AD46" s="135"/>
      <c r="AE46" s="766"/>
      <c r="AF46" s="135"/>
      <c r="AG46" s="84"/>
      <c r="AH46" s="657"/>
      <c r="AI46" s="84"/>
      <c r="AJ46" s="84"/>
      <c r="AK46" s="84"/>
      <c r="AL46" s="39"/>
      <c r="AM46" s="39"/>
      <c r="AN46" s="39"/>
      <c r="AO46" s="54"/>
      <c r="AP46" s="39"/>
      <c r="AQ46" s="39"/>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row>
    <row r="47" spans="1:264" s="92" customFormat="1" ht="13.8" x14ac:dyDescent="0.3">
      <c r="A47" s="20" t="s">
        <v>2652</v>
      </c>
      <c r="B47" s="141"/>
      <c r="C47" s="24" t="s">
        <v>2958</v>
      </c>
      <c r="D47" s="39"/>
      <c r="E47" s="591" t="s">
        <v>2959</v>
      </c>
      <c r="F47" s="290"/>
      <c r="G47" s="20" t="s">
        <v>2957</v>
      </c>
      <c r="H47" s="730">
        <v>855712000431</v>
      </c>
      <c r="I47" s="140"/>
      <c r="J47" s="140"/>
      <c r="K47" s="140"/>
      <c r="L47" s="261" t="s">
        <v>325</v>
      </c>
      <c r="M47" s="7">
        <v>54.99</v>
      </c>
      <c r="N47" s="37"/>
      <c r="O47" s="37">
        <v>6</v>
      </c>
      <c r="P47" s="35">
        <f>7.4/16</f>
        <v>0.46250000000000002</v>
      </c>
      <c r="Q47" s="35">
        <v>11.8</v>
      </c>
      <c r="R47" s="35">
        <v>1.6</v>
      </c>
      <c r="S47" s="151">
        <v>2</v>
      </c>
      <c r="T47" s="35">
        <v>0.51</v>
      </c>
      <c r="U47" s="35">
        <v>11.8</v>
      </c>
      <c r="V47" s="35">
        <v>1.6</v>
      </c>
      <c r="W47" s="35">
        <v>2</v>
      </c>
      <c r="X47" s="758"/>
      <c r="Y47" s="135"/>
      <c r="Z47" s="135"/>
      <c r="AA47" s="766"/>
      <c r="AB47" s="135"/>
      <c r="AC47" s="135"/>
      <c r="AD47" s="135"/>
      <c r="AE47" s="766"/>
      <c r="AF47" s="135"/>
      <c r="AG47" s="84"/>
      <c r="AH47" s="657"/>
      <c r="AI47" s="84"/>
      <c r="AJ47" s="84"/>
      <c r="AK47" s="84"/>
      <c r="AL47" s="39"/>
      <c r="AM47" s="39"/>
      <c r="AN47" s="39"/>
      <c r="AO47" s="54"/>
      <c r="AP47" s="39"/>
      <c r="AQ47" s="39"/>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row>
    <row r="48" spans="1:264" s="92" customFormat="1" ht="13.8" x14ac:dyDescent="0.3">
      <c r="A48" s="20" t="s">
        <v>2652</v>
      </c>
      <c r="B48" s="141"/>
      <c r="C48" s="24" t="s">
        <v>2960</v>
      </c>
      <c r="D48" s="39"/>
      <c r="E48" s="591" t="s">
        <v>2961</v>
      </c>
      <c r="F48" s="290"/>
      <c r="G48" s="20" t="s">
        <v>1517</v>
      </c>
      <c r="H48" s="730">
        <v>855712000448</v>
      </c>
      <c r="I48" s="140"/>
      <c r="J48" s="140"/>
      <c r="K48" s="140"/>
      <c r="L48" s="261" t="s">
        <v>325</v>
      </c>
      <c r="M48" s="7">
        <v>69.989999999999995</v>
      </c>
      <c r="N48" s="37"/>
      <c r="O48" s="37">
        <v>6</v>
      </c>
      <c r="P48" s="35">
        <f>10.1/16</f>
        <v>0.63124999999999998</v>
      </c>
      <c r="Q48" s="35">
        <v>11.8</v>
      </c>
      <c r="R48" s="35">
        <v>7.2</v>
      </c>
      <c r="S48" s="151">
        <v>2</v>
      </c>
      <c r="T48" s="35">
        <v>0.68</v>
      </c>
      <c r="U48" s="35">
        <v>12</v>
      </c>
      <c r="V48" s="35">
        <v>2.8</v>
      </c>
      <c r="W48" s="35">
        <v>1.7</v>
      </c>
      <c r="X48" s="758"/>
      <c r="Y48" s="135"/>
      <c r="Z48" s="135"/>
      <c r="AA48" s="766"/>
      <c r="AB48" s="135"/>
      <c r="AC48" s="135"/>
      <c r="AD48" s="135"/>
      <c r="AE48" s="766"/>
      <c r="AF48" s="135"/>
      <c r="AG48" s="84"/>
      <c r="AH48" s="657"/>
      <c r="AI48" s="84"/>
      <c r="AJ48" s="84"/>
      <c r="AK48" s="84"/>
      <c r="AL48" s="39"/>
      <c r="AM48" s="39"/>
      <c r="AN48" s="39"/>
      <c r="AO48" s="54"/>
      <c r="AP48" s="39"/>
      <c r="AQ48" s="39"/>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row>
    <row r="49" spans="1:264" s="92" customFormat="1" ht="13.8" x14ac:dyDescent="0.3">
      <c r="A49" s="20" t="s">
        <v>2652</v>
      </c>
      <c r="B49" s="141"/>
      <c r="C49" s="24" t="s">
        <v>2962</v>
      </c>
      <c r="D49" s="39"/>
      <c r="E49" s="591" t="s">
        <v>2963</v>
      </c>
      <c r="F49" s="290"/>
      <c r="G49" s="20" t="s">
        <v>1517</v>
      </c>
      <c r="H49" s="730">
        <v>814002010208</v>
      </c>
      <c r="I49" s="140"/>
      <c r="J49" s="140"/>
      <c r="K49" s="140"/>
      <c r="L49" s="261" t="s">
        <v>325</v>
      </c>
      <c r="M49" s="7">
        <v>8.99</v>
      </c>
      <c r="N49" s="37"/>
      <c r="O49" s="37">
        <v>1</v>
      </c>
      <c r="P49" s="35">
        <f>1.3/16</f>
        <v>8.1250000000000003E-2</v>
      </c>
      <c r="Q49" s="35">
        <v>4.9000000000000004</v>
      </c>
      <c r="R49" s="35">
        <v>0.94</v>
      </c>
      <c r="S49" s="151">
        <v>0.14000000000000001</v>
      </c>
      <c r="T49" s="35">
        <v>0.1</v>
      </c>
      <c r="U49" s="35">
        <v>5.7</v>
      </c>
      <c r="V49" s="35">
        <v>1.7</v>
      </c>
      <c r="W49" s="35">
        <v>1.2</v>
      </c>
      <c r="X49" s="758"/>
      <c r="Y49" s="135"/>
      <c r="Z49" s="135"/>
      <c r="AA49" s="766"/>
      <c r="AB49" s="135"/>
      <c r="AC49" s="135"/>
      <c r="AD49" s="135"/>
      <c r="AE49" s="766"/>
      <c r="AF49" s="135"/>
      <c r="AG49" s="84"/>
      <c r="AH49" s="657"/>
      <c r="AI49" s="84"/>
      <c r="AJ49" s="84"/>
      <c r="AK49" s="84"/>
      <c r="AL49" s="39"/>
      <c r="AM49" s="39"/>
      <c r="AN49" s="39"/>
      <c r="AO49" s="54"/>
      <c r="AP49" s="39"/>
      <c r="AQ49" s="39"/>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row>
    <row r="50" spans="1:264" s="92" customFormat="1" ht="15.6" x14ac:dyDescent="0.3">
      <c r="A50" s="800" t="s">
        <v>2964</v>
      </c>
      <c r="B50" s="800"/>
      <c r="C50" s="24"/>
      <c r="D50" s="39"/>
      <c r="E50" s="58"/>
      <c r="F50" s="20"/>
      <c r="G50" s="20"/>
      <c r="H50" s="664"/>
      <c r="I50" s="30"/>
      <c r="J50" s="30"/>
      <c r="K50" s="30"/>
      <c r="L50" s="261"/>
      <c r="M50" s="7"/>
      <c r="N50" s="37"/>
      <c r="O50" s="37"/>
      <c r="P50" s="35"/>
      <c r="Q50" s="35"/>
      <c r="R50" s="35"/>
      <c r="S50" s="151"/>
      <c r="T50" s="35"/>
      <c r="U50" s="35"/>
      <c r="V50" s="35"/>
      <c r="W50" s="35"/>
      <c r="X50" s="759"/>
      <c r="Y50" s="35"/>
      <c r="Z50" s="35"/>
      <c r="AA50" s="767"/>
      <c r="AB50" s="35"/>
      <c r="AC50" s="35"/>
      <c r="AD50" s="35"/>
      <c r="AE50" s="767"/>
      <c r="AF50" s="35"/>
      <c r="AG50" s="727"/>
      <c r="AH50" s="728"/>
      <c r="AI50" s="727"/>
      <c r="AJ50" s="727"/>
      <c r="AK50" s="84"/>
      <c r="AL50" s="39"/>
      <c r="AM50" s="39"/>
      <c r="AN50" s="39"/>
      <c r="AO50" s="54"/>
      <c r="AP50" s="39"/>
      <c r="AQ50" s="39"/>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row>
    <row r="51" spans="1:264" s="92" customFormat="1" ht="13.8" x14ac:dyDescent="0.3">
      <c r="A51" s="20" t="s">
        <v>2652</v>
      </c>
      <c r="B51" s="141"/>
      <c r="C51" s="24" t="s">
        <v>2965</v>
      </c>
      <c r="D51" s="39"/>
      <c r="E51" s="591" t="s">
        <v>2966</v>
      </c>
      <c r="F51" s="20"/>
      <c r="G51" s="20" t="s">
        <v>2967</v>
      </c>
      <c r="H51" s="664">
        <v>814002082288</v>
      </c>
      <c r="I51" s="140"/>
      <c r="J51" s="140"/>
      <c r="K51" s="140"/>
      <c r="L51" s="261" t="s">
        <v>325</v>
      </c>
      <c r="M51" s="7">
        <v>19.989999999999998</v>
      </c>
      <c r="N51" s="37"/>
      <c r="O51" s="37">
        <v>10</v>
      </c>
      <c r="P51" s="35">
        <f>2/16</f>
        <v>0.125</v>
      </c>
      <c r="Q51" s="35">
        <v>2.5</v>
      </c>
      <c r="R51" s="35">
        <v>2.25</v>
      </c>
      <c r="S51" s="151">
        <v>2.1</v>
      </c>
      <c r="T51" s="35">
        <v>0.15</v>
      </c>
      <c r="U51" s="35">
        <v>8.5</v>
      </c>
      <c r="V51" s="35">
        <v>6.4</v>
      </c>
      <c r="W51" s="35">
        <v>0.8</v>
      </c>
      <c r="X51" s="758"/>
      <c r="Y51" s="135"/>
      <c r="Z51" s="135"/>
      <c r="AA51" s="766"/>
      <c r="AB51" s="135"/>
      <c r="AC51" s="135"/>
      <c r="AD51" s="135"/>
      <c r="AE51" s="766"/>
      <c r="AF51" s="135"/>
      <c r="AG51" s="84"/>
      <c r="AH51" s="657"/>
      <c r="AI51" s="84"/>
      <c r="AJ51" s="84"/>
      <c r="AK51" s="84"/>
      <c r="AL51" s="39"/>
      <c r="AM51" s="39"/>
      <c r="AN51" s="39"/>
      <c r="AO51" s="54"/>
      <c r="AP51" s="39"/>
      <c r="AQ51" s="39"/>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row>
    <row r="52" spans="1:264" s="92" customFormat="1" ht="13.8" x14ac:dyDescent="0.3">
      <c r="A52" s="20" t="s">
        <v>2652</v>
      </c>
      <c r="B52" s="141"/>
      <c r="C52" s="24" t="s">
        <v>2968</v>
      </c>
      <c r="D52" s="39"/>
      <c r="E52" s="591" t="s">
        <v>2969</v>
      </c>
      <c r="F52" s="20"/>
      <c r="G52" s="20" t="s">
        <v>2967</v>
      </c>
      <c r="H52" s="664">
        <v>814002011649</v>
      </c>
      <c r="I52" s="140"/>
      <c r="J52" s="140"/>
      <c r="K52" s="140"/>
      <c r="L52" s="261" t="s">
        <v>325</v>
      </c>
      <c r="M52" s="7">
        <v>29.99</v>
      </c>
      <c r="N52" s="37"/>
      <c r="O52" s="37">
        <v>10</v>
      </c>
      <c r="P52" s="35">
        <f>3.2/16</f>
        <v>0.2</v>
      </c>
      <c r="Q52" s="35">
        <v>8.6999999999999993</v>
      </c>
      <c r="R52" s="35">
        <v>6.9</v>
      </c>
      <c r="S52" s="151">
        <v>2</v>
      </c>
      <c r="T52" s="35">
        <v>0.6</v>
      </c>
      <c r="U52" s="35">
        <v>3</v>
      </c>
      <c r="V52" s="35">
        <v>3</v>
      </c>
      <c r="W52" s="35">
        <v>2</v>
      </c>
      <c r="X52" s="758"/>
      <c r="Y52" s="135"/>
      <c r="Z52" s="135"/>
      <c r="AA52" s="766"/>
      <c r="AB52" s="135"/>
      <c r="AC52" s="135"/>
      <c r="AD52" s="135"/>
      <c r="AE52" s="766"/>
      <c r="AF52" s="135"/>
      <c r="AG52" s="84"/>
      <c r="AH52" s="657"/>
      <c r="AI52" s="84"/>
      <c r="AJ52" s="84"/>
      <c r="AK52" s="84"/>
      <c r="AL52" s="39"/>
      <c r="AM52" s="39"/>
      <c r="AN52" s="39"/>
      <c r="AO52" s="54"/>
      <c r="AP52" s="39"/>
      <c r="AQ52" s="39"/>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row>
    <row r="53" spans="1:264" s="92" customFormat="1" ht="13.8" x14ac:dyDescent="0.3">
      <c r="A53" s="20" t="s">
        <v>2652</v>
      </c>
      <c r="B53" s="141"/>
      <c r="C53" s="24" t="s">
        <v>2970</v>
      </c>
      <c r="D53" s="39"/>
      <c r="E53" s="591" t="s">
        <v>2971</v>
      </c>
      <c r="F53" s="20"/>
      <c r="G53" s="20" t="s">
        <v>2967</v>
      </c>
      <c r="H53" s="664">
        <v>814002011120</v>
      </c>
      <c r="I53" s="140"/>
      <c r="J53" s="140"/>
      <c r="K53" s="140"/>
      <c r="L53" s="261" t="s">
        <v>325</v>
      </c>
      <c r="M53" s="7">
        <v>24.99</v>
      </c>
      <c r="N53" s="37"/>
      <c r="O53" s="37">
        <v>10</v>
      </c>
      <c r="P53" s="35">
        <f>2.4/16</f>
        <v>0.15</v>
      </c>
      <c r="Q53" s="35">
        <v>10</v>
      </c>
      <c r="R53" s="35">
        <v>2.1</v>
      </c>
      <c r="S53" s="151">
        <v>2.6</v>
      </c>
      <c r="T53" s="35">
        <v>0.2</v>
      </c>
      <c r="U53" s="35">
        <v>3</v>
      </c>
      <c r="V53" s="35">
        <v>3</v>
      </c>
      <c r="W53" s="35">
        <v>1.5</v>
      </c>
      <c r="X53" s="758"/>
      <c r="Y53" s="135"/>
      <c r="Z53" s="135"/>
      <c r="AA53" s="766"/>
      <c r="AB53" s="135"/>
      <c r="AC53" s="135"/>
      <c r="AD53" s="135"/>
      <c r="AE53" s="766"/>
      <c r="AF53" s="135"/>
      <c r="AG53" s="84"/>
      <c r="AH53" s="657"/>
      <c r="AI53" s="84"/>
      <c r="AJ53" s="84"/>
      <c r="AK53" s="84"/>
      <c r="AL53" s="39"/>
      <c r="AM53" s="39"/>
      <c r="AN53" s="39"/>
      <c r="AO53" s="54"/>
      <c r="AP53" s="39"/>
      <c r="AQ53" s="39"/>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row>
    <row r="54" spans="1:264" s="92" customFormat="1" ht="13.8" x14ac:dyDescent="0.3">
      <c r="A54" s="20" t="s">
        <v>2652</v>
      </c>
      <c r="B54" s="141"/>
      <c r="C54" s="24" t="s">
        <v>2972</v>
      </c>
      <c r="D54" s="39"/>
      <c r="E54" s="591" t="s">
        <v>2973</v>
      </c>
      <c r="F54" s="20"/>
      <c r="G54" s="20" t="s">
        <v>2967</v>
      </c>
      <c r="H54" s="664">
        <v>814002011151</v>
      </c>
      <c r="I54" s="140"/>
      <c r="J54" s="140"/>
      <c r="K54" s="140"/>
      <c r="L54" s="261" t="s">
        <v>325</v>
      </c>
      <c r="M54" s="7"/>
      <c r="N54" s="37"/>
      <c r="O54" s="37">
        <v>10</v>
      </c>
      <c r="P54" s="35">
        <f>1.6/16</f>
        <v>0.1</v>
      </c>
      <c r="Q54" s="35">
        <v>2.2000000000000002</v>
      </c>
      <c r="R54" s="35">
        <v>1.8</v>
      </c>
      <c r="S54" s="151">
        <v>2.25</v>
      </c>
      <c r="T54" s="35">
        <v>0.1</v>
      </c>
      <c r="U54" s="35">
        <v>5.5</v>
      </c>
      <c r="V54" s="35">
        <v>4.7</v>
      </c>
      <c r="W54" s="35">
        <v>1.2</v>
      </c>
      <c r="X54" s="758"/>
      <c r="Y54" s="135"/>
      <c r="Z54" s="135"/>
      <c r="AA54" s="766"/>
      <c r="AB54" s="135"/>
      <c r="AC54" s="135"/>
      <c r="AD54" s="135"/>
      <c r="AE54" s="766"/>
      <c r="AF54" s="135"/>
      <c r="AG54" s="84"/>
      <c r="AH54" s="657"/>
      <c r="AI54" s="84"/>
      <c r="AJ54" s="84"/>
      <c r="AK54" s="84"/>
      <c r="AL54" s="39"/>
      <c r="AM54" s="39"/>
      <c r="AN54" s="39"/>
      <c r="AO54" s="54"/>
      <c r="AP54" s="39"/>
      <c r="AQ54" s="39"/>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c r="IU54" s="22"/>
      <c r="IV54" s="22"/>
      <c r="IW54" s="22"/>
      <c r="IX54" s="22"/>
      <c r="IY54" s="22"/>
      <c r="IZ54" s="22"/>
      <c r="JA54" s="22"/>
      <c r="JB54" s="22"/>
      <c r="JC54" s="22"/>
      <c r="JD54" s="22"/>
    </row>
    <row r="55" spans="1:264" s="92" customFormat="1" ht="13.8" x14ac:dyDescent="0.3">
      <c r="A55" s="20" t="s">
        <v>2652</v>
      </c>
      <c r="B55" s="141"/>
      <c r="C55" s="24" t="s">
        <v>2974</v>
      </c>
      <c r="D55" s="39"/>
      <c r="E55" s="591" t="s">
        <v>2975</v>
      </c>
      <c r="F55" s="20"/>
      <c r="G55" s="20" t="s">
        <v>2967</v>
      </c>
      <c r="H55" s="664">
        <v>814002011441</v>
      </c>
      <c r="I55" s="140"/>
      <c r="J55" s="140"/>
      <c r="K55" s="140"/>
      <c r="L55" s="261" t="s">
        <v>325</v>
      </c>
      <c r="M55" s="7">
        <v>24.99</v>
      </c>
      <c r="N55" s="37"/>
      <c r="O55" s="37">
        <v>10</v>
      </c>
      <c r="P55" s="35">
        <v>0.1</v>
      </c>
      <c r="Q55" s="35">
        <v>3.1</v>
      </c>
      <c r="R55" s="35">
        <v>2</v>
      </c>
      <c r="S55" s="151">
        <v>1.25</v>
      </c>
      <c r="T55" s="35">
        <v>0.1</v>
      </c>
      <c r="U55" s="35">
        <v>2.9</v>
      </c>
      <c r="V55" s="35">
        <v>2</v>
      </c>
      <c r="W55" s="35">
        <v>1.9</v>
      </c>
      <c r="X55" s="758"/>
      <c r="Y55" s="135"/>
      <c r="Z55" s="135"/>
      <c r="AA55" s="766"/>
      <c r="AB55" s="135"/>
      <c r="AC55" s="135"/>
      <c r="AD55" s="135"/>
      <c r="AE55" s="766"/>
      <c r="AF55" s="135"/>
      <c r="AG55" s="84"/>
      <c r="AH55" s="657"/>
      <c r="AI55" s="84"/>
      <c r="AJ55" s="84"/>
      <c r="AK55" s="84"/>
      <c r="AL55" s="39"/>
      <c r="AM55" s="39"/>
      <c r="AN55" s="39"/>
      <c r="AO55" s="54"/>
      <c r="AP55" s="39"/>
      <c r="AQ55" s="39"/>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c r="IW55" s="22"/>
      <c r="IX55" s="22"/>
      <c r="IY55" s="22"/>
      <c r="IZ55" s="22"/>
      <c r="JA55" s="22"/>
      <c r="JB55" s="22"/>
      <c r="JC55" s="22"/>
      <c r="JD55" s="22"/>
    </row>
    <row r="56" spans="1:264" s="92" customFormat="1" ht="13.8" x14ac:dyDescent="0.3">
      <c r="A56" s="20" t="s">
        <v>2652</v>
      </c>
      <c r="B56" s="141"/>
      <c r="C56" s="24" t="s">
        <v>2976</v>
      </c>
      <c r="D56" s="39"/>
      <c r="E56" s="591" t="s">
        <v>2977</v>
      </c>
      <c r="F56" s="20"/>
      <c r="G56" s="20" t="s">
        <v>2967</v>
      </c>
      <c r="H56" s="664">
        <v>814002011182</v>
      </c>
      <c r="I56" s="140"/>
      <c r="J56" s="140"/>
      <c r="K56" s="140"/>
      <c r="L56" s="261" t="s">
        <v>325</v>
      </c>
      <c r="M56" s="7">
        <v>16.989999999999998</v>
      </c>
      <c r="N56" s="37"/>
      <c r="O56" s="37">
        <v>10</v>
      </c>
      <c r="P56" s="35">
        <f>1.6/16</f>
        <v>0.1</v>
      </c>
      <c r="Q56" s="35">
        <v>3.5</v>
      </c>
      <c r="R56" s="35">
        <v>2</v>
      </c>
      <c r="S56" s="151">
        <v>1.3</v>
      </c>
      <c r="T56" s="35">
        <v>0.08</v>
      </c>
      <c r="U56" s="35">
        <v>3.5</v>
      </c>
      <c r="V56" s="35">
        <v>6.5</v>
      </c>
      <c r="W56" s="35">
        <v>1</v>
      </c>
      <c r="X56" s="758"/>
      <c r="Y56" s="135"/>
      <c r="Z56" s="135"/>
      <c r="AA56" s="766"/>
      <c r="AB56" s="135"/>
      <c r="AC56" s="135"/>
      <c r="AD56" s="135"/>
      <c r="AE56" s="766"/>
      <c r="AF56" s="135"/>
      <c r="AG56" s="84"/>
      <c r="AH56" s="657"/>
      <c r="AI56" s="84"/>
      <c r="AJ56" s="84"/>
      <c r="AK56" s="84"/>
      <c r="AL56" s="39"/>
      <c r="AM56" s="39"/>
      <c r="AN56" s="39"/>
      <c r="AO56" s="54"/>
      <c r="AP56" s="39"/>
      <c r="AQ56" s="39"/>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c r="IW56" s="22"/>
      <c r="IX56" s="22"/>
      <c r="IY56" s="22"/>
      <c r="IZ56" s="22"/>
      <c r="JA56" s="22"/>
      <c r="JB56" s="22"/>
      <c r="JC56" s="22"/>
      <c r="JD56" s="22"/>
    </row>
    <row r="57" spans="1:264" s="92" customFormat="1" ht="13.8" x14ac:dyDescent="0.3">
      <c r="A57" s="20" t="s">
        <v>2652</v>
      </c>
      <c r="B57" s="141"/>
      <c r="C57" s="24" t="s">
        <v>2978</v>
      </c>
      <c r="D57" s="39"/>
      <c r="E57" s="591" t="s">
        <v>2979</v>
      </c>
      <c r="F57" s="20"/>
      <c r="G57" s="20" t="s">
        <v>2967</v>
      </c>
      <c r="H57" s="664">
        <v>814002010918</v>
      </c>
      <c r="I57" s="140"/>
      <c r="J57" s="140"/>
      <c r="K57" s="140"/>
      <c r="L57" s="261" t="s">
        <v>325</v>
      </c>
      <c r="M57" s="7">
        <v>9.99</v>
      </c>
      <c r="N57" s="37"/>
      <c r="O57" s="37">
        <v>10</v>
      </c>
      <c r="P57" s="35">
        <f>3.2/16</f>
        <v>0.2</v>
      </c>
      <c r="Q57" s="35">
        <v>4.7</v>
      </c>
      <c r="R57" s="35">
        <v>4.7</v>
      </c>
      <c r="S57" s="151">
        <v>2.2000000000000002</v>
      </c>
      <c r="T57" s="35">
        <v>0.15</v>
      </c>
      <c r="U57" s="35">
        <v>4.5999999999999996</v>
      </c>
      <c r="V57" s="35">
        <v>3.8</v>
      </c>
      <c r="W57" s="35">
        <v>1.7</v>
      </c>
      <c r="X57" s="758"/>
      <c r="Y57" s="135"/>
      <c r="Z57" s="135"/>
      <c r="AA57" s="766"/>
      <c r="AB57" s="135"/>
      <c r="AC57" s="135"/>
      <c r="AD57" s="135"/>
      <c r="AE57" s="766"/>
      <c r="AF57" s="135"/>
      <c r="AG57" s="84"/>
      <c r="AH57" s="657"/>
      <c r="AI57" s="84"/>
      <c r="AJ57" s="84"/>
      <c r="AK57" s="84"/>
      <c r="AL57" s="39"/>
      <c r="AM57" s="39"/>
      <c r="AN57" s="39"/>
      <c r="AO57" s="54"/>
      <c r="AP57" s="39"/>
      <c r="AQ57" s="39"/>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row>
    <row r="58" spans="1:264" s="92" customFormat="1" ht="13.8" x14ac:dyDescent="0.3">
      <c r="A58" s="20" t="s">
        <v>2652</v>
      </c>
      <c r="B58" s="141"/>
      <c r="C58" s="24" t="s">
        <v>2980</v>
      </c>
      <c r="D58" s="39"/>
      <c r="E58" s="591" t="s">
        <v>2981</v>
      </c>
      <c r="F58" s="20"/>
      <c r="G58" s="20" t="s">
        <v>2967</v>
      </c>
      <c r="H58" s="664">
        <v>814002011502</v>
      </c>
      <c r="I58" s="140"/>
      <c r="J58" s="140"/>
      <c r="K58" s="140"/>
      <c r="L58" s="261" t="s">
        <v>325</v>
      </c>
      <c r="M58" s="7">
        <v>24.99</v>
      </c>
      <c r="N58" s="37"/>
      <c r="O58" s="37">
        <v>10</v>
      </c>
      <c r="P58" s="35">
        <f>2.4/16</f>
        <v>0.15</v>
      </c>
      <c r="Q58" s="151">
        <v>5</v>
      </c>
      <c r="R58" s="35">
        <v>2</v>
      </c>
      <c r="S58" s="35">
        <v>1.3</v>
      </c>
      <c r="T58" s="91">
        <v>0.4</v>
      </c>
      <c r="U58" s="91">
        <v>6.2</v>
      </c>
      <c r="V58" s="35">
        <v>3.5</v>
      </c>
      <c r="W58" s="35">
        <v>2</v>
      </c>
      <c r="X58" s="758"/>
      <c r="Y58" s="135"/>
      <c r="Z58" s="135"/>
      <c r="AA58" s="766"/>
      <c r="AB58" s="135"/>
      <c r="AC58" s="135"/>
      <c r="AD58" s="135"/>
      <c r="AE58" s="766"/>
      <c r="AF58" s="135"/>
      <c r="AG58" s="84"/>
      <c r="AH58" s="657"/>
      <c r="AI58" s="84"/>
      <c r="AJ58" s="84"/>
      <c r="AK58" s="84"/>
      <c r="AL58" s="39"/>
      <c r="AM58" s="39"/>
      <c r="AN58" s="39"/>
      <c r="AO58" s="54"/>
      <c r="AP58" s="39"/>
      <c r="AQ58" s="39"/>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c r="IS58" s="22"/>
      <c r="IT58" s="22"/>
      <c r="IU58" s="22"/>
      <c r="IV58" s="22"/>
      <c r="IW58" s="22"/>
      <c r="IX58" s="22"/>
      <c r="IY58" s="22"/>
      <c r="IZ58" s="22"/>
      <c r="JA58" s="22"/>
      <c r="JB58" s="22"/>
      <c r="JC58" s="22"/>
      <c r="JD58" s="22"/>
    </row>
    <row r="59" spans="1:264" s="92" customFormat="1" ht="13.8" x14ac:dyDescent="0.3">
      <c r="A59" s="20" t="s">
        <v>2652</v>
      </c>
      <c r="B59" s="141"/>
      <c r="C59" s="24" t="s">
        <v>2982</v>
      </c>
      <c r="D59" s="39"/>
      <c r="E59" s="591" t="s">
        <v>2983</v>
      </c>
      <c r="F59" s="20"/>
      <c r="G59" s="20" t="s">
        <v>2967</v>
      </c>
      <c r="H59" s="664">
        <v>814002010925</v>
      </c>
      <c r="I59" s="140"/>
      <c r="J59" s="140"/>
      <c r="K59" s="140"/>
      <c r="L59" s="261" t="s">
        <v>325</v>
      </c>
      <c r="M59" s="7">
        <v>34.99</v>
      </c>
      <c r="N59" s="37"/>
      <c r="O59" s="37">
        <v>10</v>
      </c>
      <c r="P59" s="35">
        <f>6.88/16</f>
        <v>0.43</v>
      </c>
      <c r="Q59" s="35">
        <v>14.5</v>
      </c>
      <c r="R59" s="35">
        <v>11</v>
      </c>
      <c r="S59" s="151">
        <v>2.25</v>
      </c>
      <c r="T59" s="35">
        <v>0.15</v>
      </c>
      <c r="U59" s="35">
        <v>5.28</v>
      </c>
      <c r="V59" s="35">
        <v>4.72</v>
      </c>
      <c r="W59" s="35">
        <v>4.17</v>
      </c>
      <c r="X59" s="758"/>
      <c r="Y59" s="135"/>
      <c r="Z59" s="135"/>
      <c r="AA59" s="766"/>
      <c r="AB59" s="135"/>
      <c r="AC59" s="135"/>
      <c r="AD59" s="135"/>
      <c r="AE59" s="766"/>
      <c r="AF59" s="135"/>
      <c r="AG59" s="84"/>
      <c r="AH59" s="657"/>
      <c r="AI59" s="84"/>
      <c r="AJ59" s="84"/>
      <c r="AK59" s="84"/>
      <c r="AL59" s="39"/>
      <c r="AM59" s="39"/>
      <c r="AN59" s="39"/>
      <c r="AO59" s="54"/>
      <c r="AP59" s="39"/>
      <c r="AQ59" s="39"/>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c r="IW59" s="22"/>
      <c r="IX59" s="22"/>
      <c r="IY59" s="22"/>
      <c r="IZ59" s="22"/>
      <c r="JA59" s="22"/>
      <c r="JB59" s="22"/>
      <c r="JC59" s="22"/>
      <c r="JD59" s="22"/>
    </row>
    <row r="60" spans="1:264" s="92" customFormat="1" ht="13.8" x14ac:dyDescent="0.3">
      <c r="A60" s="20" t="s">
        <v>2652</v>
      </c>
      <c r="B60" s="141"/>
      <c r="C60" s="24" t="s">
        <v>2984</v>
      </c>
      <c r="D60" s="39"/>
      <c r="E60" s="591" t="s">
        <v>2985</v>
      </c>
      <c r="F60" s="20"/>
      <c r="G60" s="20" t="s">
        <v>2967</v>
      </c>
      <c r="H60" s="664">
        <v>814002011571</v>
      </c>
      <c r="I60" s="140"/>
      <c r="J60" s="140"/>
      <c r="K60" s="140"/>
      <c r="L60" s="261" t="s">
        <v>325</v>
      </c>
      <c r="M60" s="7">
        <v>24.99</v>
      </c>
      <c r="N60" s="37"/>
      <c r="O60" s="37">
        <v>10</v>
      </c>
      <c r="P60" s="135"/>
      <c r="Q60" s="135"/>
      <c r="R60" s="151" t="s">
        <v>2986</v>
      </c>
      <c r="S60" s="149"/>
      <c r="T60" s="35">
        <v>0.15</v>
      </c>
      <c r="U60" s="35">
        <v>10.5</v>
      </c>
      <c r="V60" s="35">
        <v>7.1</v>
      </c>
      <c r="W60" s="35">
        <v>2.6</v>
      </c>
      <c r="X60" s="758"/>
      <c r="Y60" s="135"/>
      <c r="Z60" s="135"/>
      <c r="AA60" s="766"/>
      <c r="AB60" s="135"/>
      <c r="AC60" s="135"/>
      <c r="AD60" s="135"/>
      <c r="AE60" s="766"/>
      <c r="AF60" s="135"/>
      <c r="AG60" s="84"/>
      <c r="AH60" s="657"/>
      <c r="AI60" s="84"/>
      <c r="AJ60" s="84"/>
      <c r="AK60" s="84"/>
      <c r="AL60" s="39"/>
      <c r="AM60" s="39"/>
      <c r="AN60" s="39"/>
      <c r="AO60" s="54"/>
      <c r="AP60" s="39"/>
      <c r="AQ60" s="39"/>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c r="IS60" s="22"/>
      <c r="IT60" s="22"/>
      <c r="IU60" s="22"/>
      <c r="IV60" s="22"/>
      <c r="IW60" s="22"/>
      <c r="IX60" s="22"/>
      <c r="IY60" s="22"/>
      <c r="IZ60" s="22"/>
      <c r="JA60" s="22"/>
      <c r="JB60" s="22"/>
      <c r="JC60" s="22"/>
      <c r="JD60" s="22"/>
    </row>
    <row r="61" spans="1:264" s="92" customFormat="1" ht="13.8" x14ac:dyDescent="0.3">
      <c r="A61" s="20" t="s">
        <v>2652</v>
      </c>
      <c r="B61" s="141"/>
      <c r="C61" s="24" t="s">
        <v>2987</v>
      </c>
      <c r="D61" s="39"/>
      <c r="E61" s="591" t="s">
        <v>2988</v>
      </c>
      <c r="F61" s="20"/>
      <c r="G61" s="20" t="s">
        <v>2967</v>
      </c>
      <c r="H61" s="664">
        <v>814002012172</v>
      </c>
      <c r="I61" s="140"/>
      <c r="J61" s="140"/>
      <c r="K61" s="140"/>
      <c r="L61" s="261" t="s">
        <v>325</v>
      </c>
      <c r="M61" s="7"/>
      <c r="N61" s="37"/>
      <c r="O61" s="37">
        <v>10</v>
      </c>
      <c r="P61" s="35">
        <f>4.8/16</f>
        <v>0.3</v>
      </c>
      <c r="Q61" s="35">
        <v>10</v>
      </c>
      <c r="R61" s="35">
        <v>1.8</v>
      </c>
      <c r="S61" s="151">
        <v>2.6</v>
      </c>
      <c r="T61" s="35">
        <v>0.37</v>
      </c>
      <c r="U61" s="35">
        <v>13.8</v>
      </c>
      <c r="V61" s="35">
        <v>5.9</v>
      </c>
      <c r="W61" s="35">
        <v>2</v>
      </c>
      <c r="X61" s="758"/>
      <c r="Y61" s="135"/>
      <c r="Z61" s="135"/>
      <c r="AA61" s="766"/>
      <c r="AB61" s="135"/>
      <c r="AC61" s="135"/>
      <c r="AD61" s="135"/>
      <c r="AE61" s="766"/>
      <c r="AF61" s="135"/>
      <c r="AG61" s="84"/>
      <c r="AH61" s="657"/>
      <c r="AI61" s="84"/>
      <c r="AJ61" s="84"/>
      <c r="AK61" s="84"/>
      <c r="AL61" s="39"/>
      <c r="AM61" s="39"/>
      <c r="AN61" s="39"/>
      <c r="AO61" s="54"/>
      <c r="AP61" s="39"/>
      <c r="AQ61" s="39"/>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c r="IL61" s="22"/>
      <c r="IM61" s="22"/>
      <c r="IN61" s="22"/>
      <c r="IO61" s="22"/>
      <c r="IP61" s="22"/>
      <c r="IQ61" s="22"/>
      <c r="IR61" s="22"/>
      <c r="IS61" s="22"/>
      <c r="IT61" s="22"/>
      <c r="IU61" s="22"/>
      <c r="IV61" s="22"/>
      <c r="IW61" s="22"/>
      <c r="IX61" s="22"/>
      <c r="IY61" s="22"/>
      <c r="IZ61" s="22"/>
      <c r="JA61" s="22"/>
      <c r="JB61" s="22"/>
      <c r="JC61" s="22"/>
      <c r="JD61" s="22"/>
    </row>
    <row r="62" spans="1:264" s="92" customFormat="1" ht="13.8" x14ac:dyDescent="0.3">
      <c r="A62" s="20" t="s">
        <v>2652</v>
      </c>
      <c r="B62" s="141"/>
      <c r="C62" s="24" t="s">
        <v>2989</v>
      </c>
      <c r="D62" s="39"/>
      <c r="E62" s="591" t="s">
        <v>2990</v>
      </c>
      <c r="F62" s="20"/>
      <c r="G62" s="20" t="s">
        <v>2967</v>
      </c>
      <c r="H62" s="664">
        <v>814002012189</v>
      </c>
      <c r="I62" s="140"/>
      <c r="J62" s="140"/>
      <c r="K62" s="140"/>
      <c r="L62" s="261" t="s">
        <v>325</v>
      </c>
      <c r="M62" s="7"/>
      <c r="N62" s="37"/>
      <c r="O62" s="37">
        <v>5</v>
      </c>
      <c r="P62" s="35">
        <f>7.2/16</f>
        <v>0.45</v>
      </c>
      <c r="Q62" s="35">
        <v>24</v>
      </c>
      <c r="R62" s="35">
        <v>1.8</v>
      </c>
      <c r="S62" s="151">
        <v>2.6</v>
      </c>
      <c r="T62" s="35">
        <v>0.52</v>
      </c>
      <c r="U62" s="35">
        <v>14.6</v>
      </c>
      <c r="V62" s="35">
        <v>5.9</v>
      </c>
      <c r="W62" s="35">
        <v>1.8</v>
      </c>
      <c r="X62" s="758"/>
      <c r="Y62" s="135"/>
      <c r="Z62" s="135"/>
      <c r="AA62" s="766"/>
      <c r="AB62" s="135"/>
      <c r="AC62" s="135"/>
      <c r="AD62" s="135"/>
      <c r="AE62" s="766"/>
      <c r="AF62" s="135"/>
      <c r="AG62" s="84"/>
      <c r="AH62" s="657"/>
      <c r="AI62" s="84"/>
      <c r="AJ62" s="84"/>
      <c r="AK62" s="84"/>
      <c r="AL62" s="39"/>
      <c r="AM62" s="39"/>
      <c r="AN62" s="39"/>
      <c r="AO62" s="54"/>
      <c r="AP62" s="39"/>
      <c r="AQ62" s="39"/>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c r="IS62" s="22"/>
      <c r="IT62" s="22"/>
      <c r="IU62" s="22"/>
      <c r="IV62" s="22"/>
      <c r="IW62" s="22"/>
      <c r="IX62" s="22"/>
      <c r="IY62" s="22"/>
      <c r="IZ62" s="22"/>
      <c r="JA62" s="22"/>
      <c r="JB62" s="22"/>
      <c r="JC62" s="22"/>
      <c r="JD62" s="22"/>
    </row>
    <row r="63" spans="1:264" s="92" customFormat="1" ht="13.8" x14ac:dyDescent="0.3">
      <c r="A63" s="20" t="s">
        <v>2652</v>
      </c>
      <c r="B63" s="141"/>
      <c r="C63" s="24" t="s">
        <v>2991</v>
      </c>
      <c r="D63" s="39"/>
      <c r="E63" s="591" t="s">
        <v>2992</v>
      </c>
      <c r="F63" s="20"/>
      <c r="G63" s="20" t="s">
        <v>2967</v>
      </c>
      <c r="H63" s="664">
        <v>814002011021</v>
      </c>
      <c r="I63" s="140"/>
      <c r="J63" s="140"/>
      <c r="K63" s="140"/>
      <c r="L63" s="261" t="s">
        <v>325</v>
      </c>
      <c r="M63" s="7">
        <v>19.989999999999998</v>
      </c>
      <c r="N63" s="37"/>
      <c r="O63" s="37">
        <v>10</v>
      </c>
      <c r="P63" s="35">
        <f>3.36/16</f>
        <v>0.21</v>
      </c>
      <c r="Q63" s="35">
        <v>6</v>
      </c>
      <c r="R63" s="35">
        <v>2.7</v>
      </c>
      <c r="S63" s="151">
        <v>2.7</v>
      </c>
      <c r="T63" s="35">
        <v>0.25</v>
      </c>
      <c r="U63" s="35">
        <v>2.5</v>
      </c>
      <c r="V63" s="35">
        <v>2</v>
      </c>
      <c r="W63" s="35">
        <v>0.1</v>
      </c>
      <c r="X63" s="758"/>
      <c r="Y63" s="135"/>
      <c r="Z63" s="135"/>
      <c r="AA63" s="766"/>
      <c r="AB63" s="135"/>
      <c r="AC63" s="135"/>
      <c r="AD63" s="135"/>
      <c r="AE63" s="766"/>
      <c r="AF63" s="135"/>
      <c r="AG63" s="84"/>
      <c r="AH63" s="657"/>
      <c r="AI63" s="84"/>
      <c r="AJ63" s="84"/>
      <c r="AK63" s="84"/>
      <c r="AL63" s="39"/>
      <c r="AM63" s="39"/>
      <c r="AN63" s="39"/>
      <c r="AO63" s="54"/>
      <c r="AP63" s="39"/>
      <c r="AQ63" s="39"/>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c r="IR63" s="22"/>
      <c r="IS63" s="22"/>
      <c r="IT63" s="22"/>
      <c r="IU63" s="22"/>
      <c r="IV63" s="22"/>
      <c r="IW63" s="22"/>
      <c r="IX63" s="22"/>
      <c r="IY63" s="22"/>
      <c r="IZ63" s="22"/>
      <c r="JA63" s="22"/>
      <c r="JB63" s="22"/>
      <c r="JC63" s="22"/>
      <c r="JD63" s="22"/>
    </row>
    <row r="64" spans="1:264" s="92" customFormat="1" ht="13.8" x14ac:dyDescent="0.3">
      <c r="A64" s="20" t="s">
        <v>2652</v>
      </c>
      <c r="B64" s="141"/>
      <c r="C64" s="24" t="s">
        <v>2993</v>
      </c>
      <c r="D64" s="39"/>
      <c r="E64" s="591" t="s">
        <v>2994</v>
      </c>
      <c r="F64" s="20"/>
      <c r="G64" s="20" t="s">
        <v>2967</v>
      </c>
      <c r="H64" s="664">
        <v>814002011014</v>
      </c>
      <c r="I64" s="140"/>
      <c r="J64" s="140"/>
      <c r="K64" s="140"/>
      <c r="L64" s="261" t="s">
        <v>325</v>
      </c>
      <c r="M64" s="7">
        <v>29.99</v>
      </c>
      <c r="N64" s="37"/>
      <c r="O64" s="37">
        <v>10</v>
      </c>
      <c r="P64" s="35">
        <f>2.56/16</f>
        <v>0.16</v>
      </c>
      <c r="Q64" s="35">
        <v>6.5</v>
      </c>
      <c r="R64" s="35">
        <v>2</v>
      </c>
      <c r="S64" s="151">
        <v>1.2</v>
      </c>
      <c r="T64" s="35">
        <v>0.2</v>
      </c>
      <c r="U64" s="35">
        <v>8.3000000000000007</v>
      </c>
      <c r="V64" s="35">
        <v>4.7</v>
      </c>
      <c r="W64" s="35">
        <v>1.2</v>
      </c>
      <c r="X64" s="758"/>
      <c r="Y64" s="135"/>
      <c r="Z64" s="135"/>
      <c r="AA64" s="766"/>
      <c r="AB64" s="135"/>
      <c r="AC64" s="135"/>
      <c r="AD64" s="135"/>
      <c r="AE64" s="766"/>
      <c r="AF64" s="135"/>
      <c r="AG64" s="84"/>
      <c r="AH64" s="657"/>
      <c r="AI64" s="84"/>
      <c r="AJ64" s="84"/>
      <c r="AK64" s="84"/>
      <c r="AL64" s="39"/>
      <c r="AM64" s="39"/>
      <c r="AN64" s="39"/>
      <c r="AO64" s="54"/>
      <c r="AP64" s="39"/>
      <c r="AQ64" s="39"/>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row>
    <row r="65" spans="1:264" s="92" customFormat="1" ht="13.8" x14ac:dyDescent="0.3">
      <c r="A65" s="20" t="s">
        <v>2652</v>
      </c>
      <c r="B65" s="141"/>
      <c r="C65" s="24" t="s">
        <v>2995</v>
      </c>
      <c r="D65" s="39"/>
      <c r="E65" s="591" t="s">
        <v>2996</v>
      </c>
      <c r="F65" s="20"/>
      <c r="G65" s="20" t="s">
        <v>2967</v>
      </c>
      <c r="H65" s="664">
        <v>814002011335</v>
      </c>
      <c r="I65" s="140"/>
      <c r="J65" s="140"/>
      <c r="K65" s="140"/>
      <c r="L65" s="261" t="s">
        <v>325</v>
      </c>
      <c r="M65" s="7">
        <v>49.99</v>
      </c>
      <c r="N65" s="37"/>
      <c r="O65" s="37">
        <v>10</v>
      </c>
      <c r="P65" s="35">
        <f>4.3/16</f>
        <v>0.26874999999999999</v>
      </c>
      <c r="Q65" s="35">
        <v>5.75</v>
      </c>
      <c r="R65" s="35">
        <v>2.75</v>
      </c>
      <c r="S65" s="151">
        <v>2.2999999999999998</v>
      </c>
      <c r="T65" s="35">
        <v>0.3</v>
      </c>
      <c r="U65" s="35">
        <v>4.5</v>
      </c>
      <c r="V65" s="35">
        <v>3</v>
      </c>
      <c r="W65" s="35">
        <v>0.08</v>
      </c>
      <c r="X65" s="758"/>
      <c r="Y65" s="135"/>
      <c r="Z65" s="135"/>
      <c r="AA65" s="766"/>
      <c r="AB65" s="135"/>
      <c r="AC65" s="135"/>
      <c r="AD65" s="135"/>
      <c r="AE65" s="766"/>
      <c r="AF65" s="135"/>
      <c r="AG65" s="84"/>
      <c r="AH65" s="657"/>
      <c r="AI65" s="84"/>
      <c r="AJ65" s="84"/>
      <c r="AK65" s="84"/>
      <c r="AL65" s="39"/>
      <c r="AM65" s="39"/>
      <c r="AN65" s="39"/>
      <c r="AO65" s="54"/>
      <c r="AP65" s="39"/>
      <c r="AQ65" s="39"/>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c r="GK65" s="22"/>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2"/>
      <c r="IF65" s="22"/>
      <c r="IG65" s="22"/>
      <c r="IH65" s="22"/>
      <c r="II65" s="22"/>
      <c r="IJ65" s="22"/>
      <c r="IK65" s="22"/>
      <c r="IL65" s="22"/>
      <c r="IM65" s="22"/>
      <c r="IN65" s="22"/>
      <c r="IO65" s="22"/>
      <c r="IP65" s="22"/>
      <c r="IQ65" s="22"/>
      <c r="IR65" s="22"/>
      <c r="IS65" s="22"/>
      <c r="IT65" s="22"/>
      <c r="IU65" s="22"/>
      <c r="IV65" s="22"/>
      <c r="IW65" s="22"/>
      <c r="IX65" s="22"/>
      <c r="IY65" s="22"/>
      <c r="IZ65" s="22"/>
      <c r="JA65" s="22"/>
      <c r="JB65" s="22"/>
      <c r="JC65" s="22"/>
      <c r="JD65" s="22"/>
    </row>
    <row r="66" spans="1:264" s="92" customFormat="1" ht="13.8" x14ac:dyDescent="0.3">
      <c r="A66" s="20" t="s">
        <v>2652</v>
      </c>
      <c r="B66" s="141"/>
      <c r="C66" s="24" t="s">
        <v>2997</v>
      </c>
      <c r="D66" s="39"/>
      <c r="E66" s="591" t="s">
        <v>2998</v>
      </c>
      <c r="F66" s="20"/>
      <c r="G66" s="20" t="s">
        <v>2967</v>
      </c>
      <c r="H66" s="664">
        <v>814002012196</v>
      </c>
      <c r="I66" s="140"/>
      <c r="J66" s="140"/>
      <c r="K66" s="140"/>
      <c r="L66" s="261" t="s">
        <v>325</v>
      </c>
      <c r="M66" s="7"/>
      <c r="N66" s="37"/>
      <c r="O66" s="37">
        <v>1</v>
      </c>
      <c r="P66" s="35">
        <f>13.6/16</f>
        <v>0.85</v>
      </c>
      <c r="Q66" s="35">
        <v>26</v>
      </c>
      <c r="R66" s="35">
        <v>22</v>
      </c>
      <c r="S66" s="151">
        <v>2.4</v>
      </c>
      <c r="T66" s="35">
        <v>0.86</v>
      </c>
      <c r="U66" s="35">
        <v>16.5</v>
      </c>
      <c r="V66" s="35">
        <v>7.9</v>
      </c>
      <c r="W66" s="35">
        <v>3.2</v>
      </c>
      <c r="X66" s="758"/>
      <c r="Y66" s="135"/>
      <c r="Z66" s="135"/>
      <c r="AA66" s="766"/>
      <c r="AB66" s="135"/>
      <c r="AC66" s="135"/>
      <c r="AD66" s="135"/>
      <c r="AE66" s="766"/>
      <c r="AF66" s="135"/>
      <c r="AG66" s="84"/>
      <c r="AH66" s="657"/>
      <c r="AI66" s="84"/>
      <c r="AJ66" s="84"/>
      <c r="AK66" s="84"/>
      <c r="AL66" s="39"/>
      <c r="AM66" s="39"/>
      <c r="AN66" s="39"/>
      <c r="AO66" s="54"/>
      <c r="AP66" s="39"/>
      <c r="AQ66" s="39"/>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2"/>
      <c r="IF66" s="22"/>
      <c r="IG66" s="22"/>
      <c r="IH66" s="22"/>
      <c r="II66" s="22"/>
      <c r="IJ66" s="22"/>
      <c r="IK66" s="22"/>
      <c r="IL66" s="22"/>
      <c r="IM66" s="22"/>
      <c r="IN66" s="22"/>
      <c r="IO66" s="22"/>
      <c r="IP66" s="22"/>
      <c r="IQ66" s="22"/>
      <c r="IR66" s="22"/>
      <c r="IS66" s="22"/>
      <c r="IT66" s="22"/>
      <c r="IU66" s="22"/>
      <c r="IV66" s="22"/>
      <c r="IW66" s="22"/>
      <c r="IX66" s="22"/>
      <c r="IY66" s="22"/>
      <c r="IZ66" s="22"/>
      <c r="JA66" s="22"/>
      <c r="JB66" s="22"/>
      <c r="JC66" s="22"/>
      <c r="JD66" s="22"/>
    </row>
    <row r="67" spans="1:264" s="92" customFormat="1" ht="13.8" x14ac:dyDescent="0.3">
      <c r="A67" s="20" t="s">
        <v>2652</v>
      </c>
      <c r="B67" s="141"/>
      <c r="C67" s="24" t="s">
        <v>2999</v>
      </c>
      <c r="D67" s="39"/>
      <c r="E67" s="591" t="s">
        <v>3000</v>
      </c>
      <c r="F67" s="20"/>
      <c r="G67" s="20" t="s">
        <v>2967</v>
      </c>
      <c r="H67" s="664">
        <v>814002011311</v>
      </c>
      <c r="I67" s="140"/>
      <c r="J67" s="140"/>
      <c r="K67" s="140"/>
      <c r="L67" s="261" t="s">
        <v>325</v>
      </c>
      <c r="M67" s="7">
        <v>34.99</v>
      </c>
      <c r="N67" s="37"/>
      <c r="O67" s="37">
        <v>10</v>
      </c>
      <c r="P67" s="35">
        <f>2.8/16</f>
        <v>0.17499999999999999</v>
      </c>
      <c r="Q67" s="35">
        <v>9.6</v>
      </c>
      <c r="R67" s="151" t="s">
        <v>66</v>
      </c>
      <c r="S67" s="151">
        <v>9.6</v>
      </c>
      <c r="T67" s="35">
        <v>0.2</v>
      </c>
      <c r="U67" s="35">
        <v>4.8</v>
      </c>
      <c r="V67" s="35">
        <v>4.5</v>
      </c>
      <c r="W67" s="35">
        <v>0.6</v>
      </c>
      <c r="X67" s="758"/>
      <c r="Y67" s="135"/>
      <c r="Z67" s="135"/>
      <c r="AA67" s="766"/>
      <c r="AB67" s="135"/>
      <c r="AC67" s="135"/>
      <c r="AD67" s="135"/>
      <c r="AE67" s="766"/>
      <c r="AF67" s="135"/>
      <c r="AG67" s="84"/>
      <c r="AH67" s="657"/>
      <c r="AI67" s="84"/>
      <c r="AJ67" s="84"/>
      <c r="AK67" s="84"/>
      <c r="AL67" s="39"/>
      <c r="AM67" s="39"/>
      <c r="AN67" s="39"/>
      <c r="AO67" s="54"/>
      <c r="AP67" s="39"/>
      <c r="AQ67" s="39"/>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row>
    <row r="68" spans="1:264" s="92" customFormat="1" ht="13.8" x14ac:dyDescent="0.3">
      <c r="A68" s="20" t="s">
        <v>2652</v>
      </c>
      <c r="B68" s="141"/>
      <c r="C68" s="24" t="s">
        <v>3001</v>
      </c>
      <c r="D68" s="39"/>
      <c r="E68" s="591" t="s">
        <v>3002</v>
      </c>
      <c r="F68" s="20"/>
      <c r="G68" s="20" t="s">
        <v>2967</v>
      </c>
      <c r="H68" s="664">
        <v>814002011113</v>
      </c>
      <c r="I68" s="140"/>
      <c r="J68" s="140"/>
      <c r="K68" s="140"/>
      <c r="L68" s="261" t="s">
        <v>325</v>
      </c>
      <c r="M68" s="7">
        <v>24.99</v>
      </c>
      <c r="N68" s="37"/>
      <c r="O68" s="37">
        <v>10</v>
      </c>
      <c r="P68" s="35">
        <f>5.9/16</f>
        <v>0.36875000000000002</v>
      </c>
      <c r="Q68" s="35">
        <v>19.7</v>
      </c>
      <c r="R68" s="151" t="s">
        <v>66</v>
      </c>
      <c r="S68" s="151">
        <v>19.7</v>
      </c>
      <c r="T68" s="35">
        <v>0.35</v>
      </c>
      <c r="U68" s="35">
        <v>4.9000000000000004</v>
      </c>
      <c r="V68" s="35">
        <v>4</v>
      </c>
      <c r="W68" s="35">
        <v>2.2999999999999998</v>
      </c>
      <c r="X68" s="758"/>
      <c r="Y68" s="135"/>
      <c r="Z68" s="135"/>
      <c r="AA68" s="766"/>
      <c r="AB68" s="135"/>
      <c r="AC68" s="135"/>
      <c r="AD68" s="135"/>
      <c r="AE68" s="766"/>
      <c r="AF68" s="135"/>
      <c r="AG68" s="84"/>
      <c r="AH68" s="657"/>
      <c r="AI68" s="84"/>
      <c r="AJ68" s="84"/>
      <c r="AK68" s="84"/>
      <c r="AL68" s="39"/>
      <c r="AM68" s="39"/>
      <c r="AN68" s="39"/>
      <c r="AO68" s="54"/>
      <c r="AP68" s="39"/>
      <c r="AQ68" s="39"/>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row>
    <row r="69" spans="1:264" s="92" customFormat="1" ht="13.8" x14ac:dyDescent="0.3">
      <c r="A69" s="20" t="s">
        <v>2652</v>
      </c>
      <c r="B69" s="141"/>
      <c r="C69" s="24" t="s">
        <v>3003</v>
      </c>
      <c r="D69" s="39"/>
      <c r="E69" s="591" t="s">
        <v>3004</v>
      </c>
      <c r="F69" s="20"/>
      <c r="G69" s="20" t="s">
        <v>2967</v>
      </c>
      <c r="H69" s="664">
        <v>814002011236</v>
      </c>
      <c r="I69" s="140"/>
      <c r="J69" s="140"/>
      <c r="K69" s="140"/>
      <c r="L69" s="261" t="s">
        <v>325</v>
      </c>
      <c r="M69" s="7">
        <v>24.99</v>
      </c>
      <c r="N69" s="37"/>
      <c r="O69" s="37">
        <v>5</v>
      </c>
      <c r="P69" s="35">
        <f>4/16</f>
        <v>0.25</v>
      </c>
      <c r="Q69" s="35">
        <v>5.5</v>
      </c>
      <c r="R69" s="35">
        <v>4.7</v>
      </c>
      <c r="S69" s="151">
        <v>1.4</v>
      </c>
      <c r="T69" s="35">
        <v>0.33</v>
      </c>
      <c r="U69" s="35">
        <v>10</v>
      </c>
      <c r="V69" s="35">
        <v>5.9</v>
      </c>
      <c r="W69" s="35">
        <v>1</v>
      </c>
      <c r="X69" s="758"/>
      <c r="Y69" s="135"/>
      <c r="Z69" s="135"/>
      <c r="AA69" s="766"/>
      <c r="AB69" s="135"/>
      <c r="AC69" s="135"/>
      <c r="AD69" s="135"/>
      <c r="AE69" s="766"/>
      <c r="AF69" s="135"/>
      <c r="AG69" s="84"/>
      <c r="AH69" s="657"/>
      <c r="AI69" s="84"/>
      <c r="AJ69" s="84"/>
      <c r="AK69" s="84"/>
      <c r="AL69" s="39"/>
      <c r="AM69" s="39"/>
      <c r="AN69" s="39"/>
      <c r="AO69" s="54"/>
      <c r="AP69" s="39"/>
      <c r="AQ69" s="39"/>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row>
    <row r="70" spans="1:264" s="92" customFormat="1" ht="13.8" x14ac:dyDescent="0.3">
      <c r="A70" s="20" t="s">
        <v>2652</v>
      </c>
      <c r="B70" s="141"/>
      <c r="C70" s="24" t="s">
        <v>3005</v>
      </c>
      <c r="D70" s="39"/>
      <c r="E70" s="591" t="s">
        <v>3006</v>
      </c>
      <c r="F70" s="20"/>
      <c r="G70" s="20" t="s">
        <v>2967</v>
      </c>
      <c r="H70" s="664">
        <v>814002011175</v>
      </c>
      <c r="I70" s="140"/>
      <c r="J70" s="140"/>
      <c r="K70" s="140"/>
      <c r="L70" s="261" t="s">
        <v>325</v>
      </c>
      <c r="M70" s="7">
        <v>14.99</v>
      </c>
      <c r="N70" s="37"/>
      <c r="O70" s="37">
        <v>10</v>
      </c>
      <c r="P70" s="35">
        <v>0.13</v>
      </c>
      <c r="Q70" s="35">
        <v>2.1</v>
      </c>
      <c r="R70" s="35">
        <v>2.2999999999999998</v>
      </c>
      <c r="S70" s="151">
        <v>1.2</v>
      </c>
      <c r="T70" s="35">
        <v>0.15</v>
      </c>
      <c r="U70" s="35">
        <v>4</v>
      </c>
      <c r="V70" s="35">
        <v>3</v>
      </c>
      <c r="W70" s="35">
        <v>1</v>
      </c>
      <c r="X70" s="758"/>
      <c r="Y70" s="135"/>
      <c r="Z70" s="135"/>
      <c r="AA70" s="766"/>
      <c r="AB70" s="135"/>
      <c r="AC70" s="135"/>
      <c r="AD70" s="135"/>
      <c r="AE70" s="766"/>
      <c r="AF70" s="135"/>
      <c r="AG70" s="84"/>
      <c r="AH70" s="657"/>
      <c r="AI70" s="84"/>
      <c r="AJ70" s="84"/>
      <c r="AK70" s="84"/>
      <c r="AL70" s="39"/>
      <c r="AM70" s="39"/>
      <c r="AN70" s="39"/>
      <c r="AO70" s="54"/>
      <c r="AP70" s="39"/>
      <c r="AQ70" s="39"/>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row>
    <row r="71" spans="1:264" s="92" customFormat="1" ht="13.8" x14ac:dyDescent="0.3">
      <c r="A71" s="20" t="s">
        <v>2652</v>
      </c>
      <c r="B71" s="141"/>
      <c r="C71" s="24" t="s">
        <v>3007</v>
      </c>
      <c r="D71" s="39"/>
      <c r="E71" s="591" t="s">
        <v>3008</v>
      </c>
      <c r="F71" s="20"/>
      <c r="G71" s="20" t="s">
        <v>2967</v>
      </c>
      <c r="H71" s="664">
        <v>814002012257</v>
      </c>
      <c r="I71" s="140"/>
      <c r="J71" s="140"/>
      <c r="K71" s="140"/>
      <c r="L71" s="261" t="s">
        <v>325</v>
      </c>
      <c r="M71" s="7">
        <v>11.99</v>
      </c>
      <c r="N71" s="37"/>
      <c r="O71" s="37">
        <v>10</v>
      </c>
      <c r="P71" s="35">
        <v>2.5000000000000001E-2</v>
      </c>
      <c r="Q71" s="35">
        <v>1</v>
      </c>
      <c r="R71" s="35">
        <v>0.9</v>
      </c>
      <c r="S71" s="151">
        <v>1.1000000000000001</v>
      </c>
      <c r="T71" s="35">
        <v>0.03</v>
      </c>
      <c r="U71" s="35">
        <v>5.8</v>
      </c>
      <c r="V71" s="35">
        <v>3</v>
      </c>
      <c r="W71" s="35">
        <v>0.5</v>
      </c>
      <c r="X71" s="758"/>
      <c r="Y71" s="135"/>
      <c r="Z71" s="135"/>
      <c r="AA71" s="766"/>
      <c r="AB71" s="135"/>
      <c r="AC71" s="135"/>
      <c r="AD71" s="135"/>
      <c r="AE71" s="766"/>
      <c r="AF71" s="135"/>
      <c r="AG71" s="84"/>
      <c r="AH71" s="657"/>
      <c r="AI71" s="84"/>
      <c r="AJ71" s="84"/>
      <c r="AK71" s="84"/>
      <c r="AL71" s="39"/>
      <c r="AM71" s="39"/>
      <c r="AN71" s="39"/>
      <c r="AO71" s="54"/>
      <c r="AP71" s="39"/>
      <c r="AQ71" s="39"/>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row>
    <row r="72" spans="1:264" s="92" customFormat="1" ht="13.8" x14ac:dyDescent="0.3">
      <c r="A72" s="20" t="s">
        <v>2652</v>
      </c>
      <c r="B72" s="141"/>
      <c r="C72" s="24" t="s">
        <v>3009</v>
      </c>
      <c r="D72" s="39"/>
      <c r="E72" s="591" t="s">
        <v>3010</v>
      </c>
      <c r="F72" s="20"/>
      <c r="G72" s="20" t="s">
        <v>2967</v>
      </c>
      <c r="H72" s="664">
        <v>814002012264</v>
      </c>
      <c r="I72" s="140"/>
      <c r="J72" s="140"/>
      <c r="K72" s="140"/>
      <c r="L72" s="261" t="s">
        <v>325</v>
      </c>
      <c r="M72" s="7">
        <v>9.99</v>
      </c>
      <c r="N72" s="37"/>
      <c r="O72" s="37">
        <v>10</v>
      </c>
      <c r="P72" s="35">
        <v>2.5000000000000001E-2</v>
      </c>
      <c r="Q72" s="35">
        <v>1.2</v>
      </c>
      <c r="R72" s="35">
        <v>1.7</v>
      </c>
      <c r="S72" s="151">
        <v>1</v>
      </c>
      <c r="T72" s="35">
        <v>0.03</v>
      </c>
      <c r="U72" s="35">
        <v>5.2</v>
      </c>
      <c r="V72" s="35">
        <v>3</v>
      </c>
      <c r="W72" s="35">
        <v>1</v>
      </c>
      <c r="X72" s="758"/>
      <c r="Y72" s="135"/>
      <c r="Z72" s="135"/>
      <c r="AA72" s="766"/>
      <c r="AB72" s="135"/>
      <c r="AC72" s="135"/>
      <c r="AD72" s="135"/>
      <c r="AE72" s="766"/>
      <c r="AF72" s="135"/>
      <c r="AG72" s="84"/>
      <c r="AH72" s="657"/>
      <c r="AI72" s="84"/>
      <c r="AJ72" s="84"/>
      <c r="AK72" s="84"/>
      <c r="AL72" s="39"/>
      <c r="AM72" s="39"/>
      <c r="AN72" s="39"/>
      <c r="AO72" s="54"/>
      <c r="AP72" s="39"/>
      <c r="AQ72" s="39"/>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row>
    <row r="73" spans="1:264" s="92" customFormat="1" ht="13.8" x14ac:dyDescent="0.3">
      <c r="A73" s="20" t="s">
        <v>2652</v>
      </c>
      <c r="B73" s="141"/>
      <c r="C73" s="24" t="s">
        <v>3011</v>
      </c>
      <c r="D73" s="39"/>
      <c r="E73" s="591" t="s">
        <v>3012</v>
      </c>
      <c r="F73" s="20"/>
      <c r="G73" s="20" t="s">
        <v>2967</v>
      </c>
      <c r="H73" s="664">
        <v>814002011144</v>
      </c>
      <c r="I73" s="140"/>
      <c r="J73" s="140"/>
      <c r="K73" s="140"/>
      <c r="L73" s="261" t="s">
        <v>325</v>
      </c>
      <c r="M73" s="7">
        <v>14.99</v>
      </c>
      <c r="N73" s="37"/>
      <c r="O73" s="37">
        <v>10</v>
      </c>
      <c r="P73" s="35">
        <v>0.1</v>
      </c>
      <c r="Q73" s="35">
        <v>2.4</v>
      </c>
      <c r="R73" s="35">
        <v>2</v>
      </c>
      <c r="S73" s="151">
        <v>1.2</v>
      </c>
      <c r="T73" s="35">
        <v>0.1</v>
      </c>
      <c r="U73" s="35">
        <v>4</v>
      </c>
      <c r="V73" s="35">
        <v>3</v>
      </c>
      <c r="W73" s="35">
        <v>1</v>
      </c>
      <c r="X73" s="758"/>
      <c r="Y73" s="135"/>
      <c r="Z73" s="135"/>
      <c r="AA73" s="766"/>
      <c r="AB73" s="135"/>
      <c r="AC73" s="135"/>
      <c r="AD73" s="135"/>
      <c r="AE73" s="766"/>
      <c r="AF73" s="135"/>
      <c r="AG73" s="84"/>
      <c r="AH73" s="657"/>
      <c r="AI73" s="84"/>
      <c r="AJ73" s="84"/>
      <c r="AK73" s="84"/>
      <c r="AL73" s="39"/>
      <c r="AM73" s="39"/>
      <c r="AN73" s="39"/>
      <c r="AO73" s="54"/>
      <c r="AP73" s="39"/>
      <c r="AQ73" s="39"/>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row>
    <row r="74" spans="1:264" s="92" customFormat="1" ht="13.8" x14ac:dyDescent="0.3">
      <c r="A74" s="20" t="s">
        <v>2652</v>
      </c>
      <c r="B74" s="141"/>
      <c r="C74" s="24" t="s">
        <v>3013</v>
      </c>
      <c r="D74" s="39"/>
      <c r="E74" s="591" t="s">
        <v>3014</v>
      </c>
      <c r="F74" s="20"/>
      <c r="G74" s="20" t="s">
        <v>2967</v>
      </c>
      <c r="H74" s="664">
        <v>814002011137</v>
      </c>
      <c r="I74" s="140"/>
      <c r="J74" s="140"/>
      <c r="K74" s="140"/>
      <c r="L74" s="261" t="s">
        <v>325</v>
      </c>
      <c r="M74" s="7">
        <v>19.989999999999998</v>
      </c>
      <c r="N74" s="37"/>
      <c r="O74" s="37">
        <v>10</v>
      </c>
      <c r="P74" s="35">
        <f>2.24/16</f>
        <v>0.14000000000000001</v>
      </c>
      <c r="Q74" s="35">
        <v>4.7</v>
      </c>
      <c r="R74" s="35">
        <v>2.2000000000000002</v>
      </c>
      <c r="S74" s="151">
        <v>1.8</v>
      </c>
      <c r="T74" s="35">
        <v>0.2</v>
      </c>
      <c r="U74" s="35">
        <v>4.4000000000000004</v>
      </c>
      <c r="V74" s="35">
        <v>3.7</v>
      </c>
      <c r="W74" s="35">
        <v>0.5</v>
      </c>
      <c r="X74" s="758"/>
      <c r="Y74" s="135"/>
      <c r="Z74" s="135"/>
      <c r="AA74" s="766"/>
      <c r="AB74" s="135"/>
      <c r="AC74" s="135"/>
      <c r="AD74" s="135"/>
      <c r="AE74" s="766"/>
      <c r="AF74" s="135"/>
      <c r="AG74" s="84"/>
      <c r="AH74" s="657"/>
      <c r="AI74" s="84"/>
      <c r="AJ74" s="84"/>
      <c r="AK74" s="84"/>
      <c r="AL74" s="39"/>
      <c r="AM74" s="39"/>
      <c r="AN74" s="39"/>
      <c r="AO74" s="54"/>
      <c r="AP74" s="39"/>
      <c r="AQ74" s="39"/>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row>
    <row r="75" spans="1:264" s="92" customFormat="1" ht="13.8" x14ac:dyDescent="0.3">
      <c r="A75" s="20" t="s">
        <v>2652</v>
      </c>
      <c r="B75" s="141"/>
      <c r="C75" s="24" t="s">
        <v>3015</v>
      </c>
      <c r="D75" s="39"/>
      <c r="E75" s="591" t="s">
        <v>3016</v>
      </c>
      <c r="F75" s="20"/>
      <c r="G75" s="20" t="s">
        <v>2967</v>
      </c>
      <c r="H75" s="664">
        <v>814002011632</v>
      </c>
      <c r="I75" s="140"/>
      <c r="J75" s="140"/>
      <c r="K75" s="140"/>
      <c r="L75" s="261" t="s">
        <v>325</v>
      </c>
      <c r="M75" s="7">
        <v>19.989999999999998</v>
      </c>
      <c r="N75" s="37"/>
      <c r="O75" s="37">
        <v>10</v>
      </c>
      <c r="P75" s="35">
        <f>3.2/16</f>
        <v>0.2</v>
      </c>
      <c r="Q75" s="35">
        <v>7.5</v>
      </c>
      <c r="R75" s="35">
        <v>2</v>
      </c>
      <c r="S75" s="151">
        <v>1.6</v>
      </c>
      <c r="T75" s="35">
        <f>3.7/16</f>
        <v>0.23125000000000001</v>
      </c>
      <c r="U75" s="35">
        <v>10.8</v>
      </c>
      <c r="V75" s="35">
        <v>5.9</v>
      </c>
      <c r="W75" s="35">
        <v>1.2</v>
      </c>
      <c r="X75" s="758"/>
      <c r="Y75" s="135"/>
      <c r="Z75" s="135"/>
      <c r="AA75" s="766"/>
      <c r="AB75" s="135"/>
      <c r="AC75" s="135"/>
      <c r="AD75" s="135"/>
      <c r="AE75" s="766"/>
      <c r="AF75" s="135"/>
      <c r="AG75" s="84"/>
      <c r="AH75" s="657"/>
      <c r="AI75" s="84"/>
      <c r="AJ75" s="84"/>
      <c r="AK75" s="84"/>
      <c r="AL75" s="39"/>
      <c r="AM75" s="39"/>
      <c r="AN75" s="39"/>
      <c r="AO75" s="54"/>
      <c r="AP75" s="39"/>
      <c r="AQ75" s="39"/>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row>
    <row r="76" spans="1:264" s="92" customFormat="1" ht="13.8" x14ac:dyDescent="0.3">
      <c r="A76" s="20" t="s">
        <v>2652</v>
      </c>
      <c r="B76" s="141"/>
      <c r="C76" s="24" t="s">
        <v>3017</v>
      </c>
      <c r="D76" s="39"/>
      <c r="E76" s="591" t="s">
        <v>3018</v>
      </c>
      <c r="F76" s="20"/>
      <c r="G76" s="20" t="s">
        <v>1517</v>
      </c>
      <c r="H76" s="664">
        <v>814002011991</v>
      </c>
      <c r="I76" s="140"/>
      <c r="J76" s="140"/>
      <c r="K76" s="140"/>
      <c r="L76" s="261" t="s">
        <v>325</v>
      </c>
      <c r="M76" s="7">
        <v>34.99</v>
      </c>
      <c r="N76" s="37"/>
      <c r="O76" s="37">
        <v>10</v>
      </c>
      <c r="P76" s="35">
        <f>5.5/16</f>
        <v>0.34375</v>
      </c>
      <c r="Q76" s="151" t="s">
        <v>3019</v>
      </c>
      <c r="R76" s="35">
        <v>1.25</v>
      </c>
      <c r="S76" s="151">
        <v>1.25</v>
      </c>
      <c r="T76" s="35">
        <v>0.4</v>
      </c>
      <c r="U76" s="35">
        <v>11.4</v>
      </c>
      <c r="V76" s="35">
        <v>1.6</v>
      </c>
      <c r="W76" s="35">
        <v>1.4</v>
      </c>
      <c r="X76" s="758"/>
      <c r="Y76" s="135"/>
      <c r="Z76" s="135"/>
      <c r="AA76" s="766"/>
      <c r="AB76" s="135"/>
      <c r="AC76" s="135"/>
      <c r="AD76" s="135"/>
      <c r="AE76" s="766"/>
      <c r="AF76" s="135"/>
      <c r="AG76" s="84"/>
      <c r="AH76" s="657"/>
      <c r="AI76" s="84"/>
      <c r="AJ76" s="84"/>
      <c r="AK76" s="84"/>
      <c r="AL76" s="39"/>
      <c r="AM76" s="39"/>
      <c r="AN76" s="39"/>
      <c r="AO76" s="54"/>
      <c r="AP76" s="39"/>
      <c r="AQ76" s="39"/>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row>
    <row r="77" spans="1:264" s="92" customFormat="1" ht="13.8" x14ac:dyDescent="0.3">
      <c r="A77" s="20" t="s">
        <v>2652</v>
      </c>
      <c r="B77" s="141"/>
      <c r="C77" s="24" t="s">
        <v>3020</v>
      </c>
      <c r="D77" s="39"/>
      <c r="E77" s="591" t="s">
        <v>3021</v>
      </c>
      <c r="F77" s="20"/>
      <c r="G77" s="20" t="s">
        <v>1517</v>
      </c>
      <c r="H77" s="664">
        <v>814002012332</v>
      </c>
      <c r="I77" s="140"/>
      <c r="J77" s="140"/>
      <c r="K77" s="140"/>
      <c r="L77" s="261" t="s">
        <v>325</v>
      </c>
      <c r="M77" s="7">
        <v>34.99</v>
      </c>
      <c r="N77" s="37"/>
      <c r="O77" s="37">
        <v>10</v>
      </c>
      <c r="P77" s="35">
        <f>12.5/16</f>
        <v>0.78125</v>
      </c>
      <c r="Q77" s="151" t="s">
        <v>3022</v>
      </c>
      <c r="R77" s="35">
        <v>1.5</v>
      </c>
      <c r="S77" s="151">
        <v>1.5</v>
      </c>
      <c r="T77" s="35">
        <v>1.05</v>
      </c>
      <c r="U77" s="35">
        <v>21.18</v>
      </c>
      <c r="V77" s="35">
        <v>3.78</v>
      </c>
      <c r="W77" s="35">
        <v>3.7</v>
      </c>
      <c r="X77" s="758"/>
      <c r="Y77" s="135"/>
      <c r="Z77" s="135"/>
      <c r="AA77" s="766"/>
      <c r="AB77" s="135"/>
      <c r="AC77" s="135"/>
      <c r="AD77" s="135"/>
      <c r="AE77" s="766"/>
      <c r="AF77" s="135"/>
      <c r="AG77" s="84"/>
      <c r="AH77" s="657"/>
      <c r="AI77" s="84"/>
      <c r="AJ77" s="84"/>
      <c r="AK77" s="84"/>
      <c r="AL77" s="39"/>
      <c r="AM77" s="39"/>
      <c r="AN77" s="39"/>
      <c r="AO77" s="54"/>
      <c r="AP77" s="39"/>
      <c r="AQ77" s="39"/>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row>
    <row r="78" spans="1:264" s="92" customFormat="1" x14ac:dyDescent="0.25">
      <c r="A78" s="20" t="s">
        <v>2652</v>
      </c>
      <c r="B78" s="39"/>
      <c r="C78" s="24" t="s">
        <v>2725</v>
      </c>
      <c r="D78" s="39"/>
      <c r="E78" s="591" t="s">
        <v>2731</v>
      </c>
      <c r="F78" s="39"/>
      <c r="G78" s="20" t="s">
        <v>2967</v>
      </c>
      <c r="H78" s="65">
        <v>54269002091</v>
      </c>
      <c r="I78" s="178"/>
      <c r="J78" s="178"/>
      <c r="K78" s="731"/>
      <c r="L78" s="261" t="s">
        <v>325</v>
      </c>
      <c r="M78" s="7">
        <v>49.99</v>
      </c>
      <c r="N78" s="39"/>
      <c r="O78" s="37">
        <v>10</v>
      </c>
      <c r="P78" s="35">
        <v>0.04</v>
      </c>
      <c r="Q78" s="35">
        <v>1.89</v>
      </c>
      <c r="R78" s="35">
        <v>1.89</v>
      </c>
      <c r="S78" s="91">
        <v>0.5</v>
      </c>
      <c r="T78" s="403"/>
      <c r="U78" s="178"/>
      <c r="V78" s="178"/>
      <c r="W78" s="403"/>
      <c r="X78" s="763">
        <v>0.7</v>
      </c>
      <c r="Y78" s="39">
        <v>6</v>
      </c>
      <c r="Z78" s="39">
        <v>5</v>
      </c>
      <c r="AA78" s="771">
        <v>4</v>
      </c>
      <c r="AB78" s="28" t="s">
        <v>66</v>
      </c>
      <c r="AC78" s="28" t="s">
        <v>66</v>
      </c>
      <c r="AD78" s="28" t="s">
        <v>66</v>
      </c>
      <c r="AE78" s="28" t="s">
        <v>66</v>
      </c>
      <c r="AF78" s="403"/>
      <c r="AG78" s="178"/>
      <c r="AH78" s="178"/>
      <c r="AI78" s="178"/>
      <c r="AJ78" s="178"/>
      <c r="AK78" s="178"/>
      <c r="AL78" s="39"/>
      <c r="AM78" s="39"/>
      <c r="AN78" s="39"/>
      <c r="AO78" s="178"/>
      <c r="AP78" s="178"/>
      <c r="AQ78" s="178"/>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22"/>
      <c r="FE78" s="22"/>
      <c r="FF78" s="22"/>
      <c r="FG78" s="22"/>
      <c r="FH78" s="22"/>
      <c r="FI78" s="22"/>
      <c r="FJ78" s="22"/>
      <c r="FK78" s="22"/>
      <c r="FL78" s="22"/>
      <c r="FM78" s="22"/>
      <c r="FN78" s="22"/>
      <c r="FO78" s="22"/>
      <c r="FP78" s="22"/>
      <c r="FQ78" s="22"/>
      <c r="FR78" s="22"/>
      <c r="FS78" s="22"/>
      <c r="FT78" s="22"/>
      <c r="FU78" s="22"/>
      <c r="FV78" s="22"/>
      <c r="FW78" s="22"/>
      <c r="FX78" s="22"/>
      <c r="FY78" s="22"/>
      <c r="FZ78" s="22"/>
      <c r="GA78" s="22"/>
      <c r="GB78" s="22"/>
      <c r="GC78" s="22"/>
      <c r="GD78" s="22"/>
      <c r="GE78" s="22"/>
      <c r="GF78" s="22"/>
      <c r="GG78" s="22"/>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c r="IH78" s="22"/>
      <c r="II78" s="22"/>
      <c r="IJ78" s="22"/>
      <c r="IK78" s="22"/>
      <c r="IL78" s="22"/>
      <c r="IM78" s="22"/>
      <c r="IN78" s="22"/>
      <c r="IO78" s="22"/>
      <c r="IP78" s="22"/>
      <c r="IQ78" s="22"/>
      <c r="IR78" s="22"/>
      <c r="IS78" s="22"/>
      <c r="IT78" s="22"/>
      <c r="IU78" s="22"/>
      <c r="IV78" s="22"/>
      <c r="IW78" s="22"/>
      <c r="IX78" s="22"/>
      <c r="IY78" s="22"/>
      <c r="IZ78" s="22"/>
      <c r="JA78" s="22"/>
      <c r="JB78" s="22"/>
      <c r="JC78" s="22"/>
      <c r="JD78" s="22"/>
    </row>
    <row r="79" spans="1:264" s="92" customFormat="1" x14ac:dyDescent="0.25">
      <c r="A79" s="20" t="s">
        <v>2652</v>
      </c>
      <c r="B79" s="39"/>
      <c r="C79" s="24" t="s">
        <v>2726</v>
      </c>
      <c r="D79" s="39"/>
      <c r="E79" s="591" t="s">
        <v>2732</v>
      </c>
      <c r="F79" s="39"/>
      <c r="G79" s="20" t="s">
        <v>2967</v>
      </c>
      <c r="H79" s="65">
        <v>54269002107</v>
      </c>
      <c r="I79" s="178"/>
      <c r="J79" s="178"/>
      <c r="K79" s="731"/>
      <c r="L79" s="261" t="s">
        <v>325</v>
      </c>
      <c r="M79" s="7">
        <v>59.99</v>
      </c>
      <c r="N79" s="39"/>
      <c r="O79" s="37">
        <v>10</v>
      </c>
      <c r="P79" s="35">
        <v>0.13</v>
      </c>
      <c r="Q79" s="35">
        <v>2.35</v>
      </c>
      <c r="R79" s="35">
        <v>2.35</v>
      </c>
      <c r="S79" s="91">
        <v>0.92</v>
      </c>
      <c r="T79" s="403"/>
      <c r="U79" s="178"/>
      <c r="V79" s="178"/>
      <c r="W79" s="403"/>
      <c r="X79" s="763">
        <v>1.7</v>
      </c>
      <c r="Y79" s="39">
        <v>7.25</v>
      </c>
      <c r="Z79" s="39">
        <v>5.25</v>
      </c>
      <c r="AA79" s="771">
        <v>5.25</v>
      </c>
      <c r="AB79" s="28" t="s">
        <v>66</v>
      </c>
      <c r="AC79" s="28" t="s">
        <v>66</v>
      </c>
      <c r="AD79" s="28" t="s">
        <v>66</v>
      </c>
      <c r="AE79" s="28" t="s">
        <v>66</v>
      </c>
      <c r="AF79" s="403"/>
      <c r="AG79" s="178"/>
      <c r="AH79" s="178"/>
      <c r="AI79" s="178"/>
      <c r="AJ79" s="178"/>
      <c r="AK79" s="178"/>
      <c r="AL79" s="39"/>
      <c r="AM79" s="39"/>
      <c r="AN79" s="39"/>
      <c r="AO79" s="178"/>
      <c r="AP79" s="178"/>
      <c r="AQ79" s="178"/>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c r="FO79" s="22"/>
      <c r="FP79" s="22"/>
      <c r="FQ79" s="22"/>
      <c r="FR79" s="22"/>
      <c r="FS79" s="22"/>
      <c r="FT79" s="22"/>
      <c r="FU79" s="22"/>
      <c r="FV79" s="22"/>
      <c r="FW79" s="22"/>
      <c r="FX79" s="22"/>
      <c r="FY79" s="22"/>
      <c r="FZ79" s="22"/>
      <c r="GA79" s="22"/>
      <c r="GB79" s="22"/>
      <c r="GC79" s="22"/>
      <c r="GD79" s="22"/>
      <c r="GE79" s="22"/>
      <c r="GF79" s="22"/>
      <c r="GG79" s="22"/>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c r="IH79" s="22"/>
      <c r="II79" s="22"/>
      <c r="IJ79" s="22"/>
      <c r="IK79" s="22"/>
      <c r="IL79" s="22"/>
      <c r="IM79" s="22"/>
      <c r="IN79" s="22"/>
      <c r="IO79" s="22"/>
      <c r="IP79" s="22"/>
      <c r="IQ79" s="22"/>
      <c r="IR79" s="22"/>
      <c r="IS79" s="22"/>
      <c r="IT79" s="22"/>
      <c r="IU79" s="22"/>
      <c r="IV79" s="22"/>
      <c r="IW79" s="22"/>
      <c r="IX79" s="22"/>
      <c r="IY79" s="22"/>
      <c r="IZ79" s="22"/>
      <c r="JA79" s="22"/>
      <c r="JB79" s="22"/>
      <c r="JC79" s="22"/>
      <c r="JD79" s="22"/>
    </row>
    <row r="80" spans="1:264" s="92" customFormat="1" x14ac:dyDescent="0.25">
      <c r="A80" s="20" t="s">
        <v>2652</v>
      </c>
      <c r="B80" s="39"/>
      <c r="C80" s="24" t="s">
        <v>2727</v>
      </c>
      <c r="D80" s="39"/>
      <c r="E80" s="591" t="s">
        <v>2733</v>
      </c>
      <c r="F80" s="39" t="s">
        <v>54</v>
      </c>
      <c r="G80" s="20" t="s">
        <v>2967</v>
      </c>
      <c r="H80" s="65">
        <v>54269002114</v>
      </c>
      <c r="I80" s="178"/>
      <c r="J80" s="178"/>
      <c r="K80" s="731"/>
      <c r="L80" s="261" t="s">
        <v>325</v>
      </c>
      <c r="M80" s="7">
        <v>49.99</v>
      </c>
      <c r="N80" s="39"/>
      <c r="O80" s="37">
        <v>10</v>
      </c>
      <c r="P80" s="35">
        <f>0.6/16</f>
        <v>3.7499999999999999E-2</v>
      </c>
      <c r="Q80" s="35">
        <v>1.89</v>
      </c>
      <c r="R80" s="35">
        <v>1.89</v>
      </c>
      <c r="S80" s="91">
        <v>0.5</v>
      </c>
      <c r="T80" s="403"/>
      <c r="U80" s="178"/>
      <c r="V80" s="178"/>
      <c r="W80" s="403"/>
      <c r="X80" s="763">
        <v>0.7</v>
      </c>
      <c r="Y80" s="39">
        <v>6</v>
      </c>
      <c r="Z80" s="39">
        <v>5</v>
      </c>
      <c r="AA80" s="771">
        <v>4</v>
      </c>
      <c r="AB80" s="28" t="s">
        <v>66</v>
      </c>
      <c r="AC80" s="28" t="s">
        <v>66</v>
      </c>
      <c r="AD80" s="28" t="s">
        <v>66</v>
      </c>
      <c r="AE80" s="28" t="s">
        <v>66</v>
      </c>
      <c r="AF80" s="403"/>
      <c r="AG80" s="178"/>
      <c r="AH80" s="178"/>
      <c r="AI80" s="178"/>
      <c r="AJ80" s="178"/>
      <c r="AK80" s="178"/>
      <c r="AL80" s="39"/>
      <c r="AM80" s="39"/>
      <c r="AN80" s="39"/>
      <c r="AO80" s="572"/>
      <c r="AP80" s="178"/>
      <c r="AQ80" s="178"/>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c r="ER80" s="22"/>
      <c r="ES80" s="22"/>
      <c r="ET80" s="22"/>
      <c r="EU80" s="22"/>
      <c r="EV80" s="22"/>
      <c r="EW80" s="22"/>
      <c r="EX80" s="22"/>
      <c r="EY80" s="22"/>
      <c r="EZ80" s="22"/>
      <c r="FA80" s="22"/>
      <c r="FB80" s="22"/>
      <c r="FC80" s="22"/>
      <c r="FD80" s="22"/>
      <c r="FE80" s="22"/>
      <c r="FF80" s="22"/>
      <c r="FG80" s="22"/>
      <c r="FH80" s="22"/>
      <c r="FI80" s="22"/>
      <c r="FJ80" s="22"/>
      <c r="FK80" s="22"/>
      <c r="FL80" s="22"/>
      <c r="FM80" s="22"/>
      <c r="FN80" s="22"/>
      <c r="FO80" s="22"/>
      <c r="FP80" s="22"/>
      <c r="FQ80" s="22"/>
      <c r="FR80" s="22"/>
      <c r="FS80" s="22"/>
      <c r="FT80" s="22"/>
      <c r="FU80" s="22"/>
      <c r="FV80" s="22"/>
      <c r="FW80" s="22"/>
      <c r="FX80" s="22"/>
      <c r="FY80" s="22"/>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c r="IQ80" s="22"/>
      <c r="IR80" s="22"/>
      <c r="IS80" s="22"/>
      <c r="IT80" s="22"/>
      <c r="IU80" s="22"/>
      <c r="IV80" s="22"/>
      <c r="IW80" s="22"/>
      <c r="IX80" s="22"/>
      <c r="IY80" s="22"/>
      <c r="IZ80" s="22"/>
      <c r="JA80" s="22"/>
      <c r="JB80" s="22"/>
      <c r="JC80" s="22"/>
      <c r="JD80" s="22"/>
    </row>
    <row r="81" spans="1:264" s="92" customFormat="1" x14ac:dyDescent="0.25">
      <c r="A81" s="20" t="s">
        <v>2652</v>
      </c>
      <c r="B81" s="39"/>
      <c r="C81" s="24" t="s">
        <v>2728</v>
      </c>
      <c r="D81" s="39"/>
      <c r="E81" s="591" t="s">
        <v>2734</v>
      </c>
      <c r="F81" s="39" t="s">
        <v>615</v>
      </c>
      <c r="G81" s="20" t="s">
        <v>2967</v>
      </c>
      <c r="H81" s="65">
        <v>54269002121</v>
      </c>
      <c r="I81" s="178"/>
      <c r="J81" s="178"/>
      <c r="K81" s="731"/>
      <c r="L81" s="261" t="s">
        <v>325</v>
      </c>
      <c r="M81" s="7">
        <v>49.99</v>
      </c>
      <c r="N81" s="39"/>
      <c r="O81" s="37">
        <v>10</v>
      </c>
      <c r="P81" s="35">
        <v>0.04</v>
      </c>
      <c r="Q81" s="35">
        <v>1.89</v>
      </c>
      <c r="R81" s="35">
        <v>1.89</v>
      </c>
      <c r="S81" s="91">
        <v>0.5</v>
      </c>
      <c r="T81" s="403"/>
      <c r="U81" s="178"/>
      <c r="V81" s="178"/>
      <c r="W81" s="403"/>
      <c r="X81" s="763">
        <v>0.7</v>
      </c>
      <c r="Y81" s="39">
        <v>6</v>
      </c>
      <c r="Z81" s="39">
        <v>5</v>
      </c>
      <c r="AA81" s="771">
        <v>4</v>
      </c>
      <c r="AB81" s="28" t="s">
        <v>66</v>
      </c>
      <c r="AC81" s="28" t="s">
        <v>66</v>
      </c>
      <c r="AD81" s="28" t="s">
        <v>66</v>
      </c>
      <c r="AE81" s="28" t="s">
        <v>66</v>
      </c>
      <c r="AF81" s="403"/>
      <c r="AG81" s="178"/>
      <c r="AH81" s="178"/>
      <c r="AI81" s="178"/>
      <c r="AJ81" s="178"/>
      <c r="AK81" s="178"/>
      <c r="AL81" s="39"/>
      <c r="AM81" s="39"/>
      <c r="AN81" s="39"/>
      <c r="AO81" s="178"/>
      <c r="AP81" s="178"/>
      <c r="AQ81" s="178"/>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row>
    <row r="82" spans="1:264" s="92" customFormat="1" x14ac:dyDescent="0.25">
      <c r="A82" s="20" t="s">
        <v>2652</v>
      </c>
      <c r="B82" s="39"/>
      <c r="C82" s="24" t="s">
        <v>2729</v>
      </c>
      <c r="D82" s="39"/>
      <c r="E82" s="591" t="s">
        <v>2735</v>
      </c>
      <c r="F82" s="39"/>
      <c r="G82" s="20" t="s">
        <v>2967</v>
      </c>
      <c r="H82" s="65">
        <v>54269002138</v>
      </c>
      <c r="I82" s="178"/>
      <c r="J82" s="178"/>
      <c r="K82" s="731"/>
      <c r="L82" s="261" t="s">
        <v>325</v>
      </c>
      <c r="M82" s="7">
        <v>99.99</v>
      </c>
      <c r="N82" s="39"/>
      <c r="O82" s="37">
        <v>10</v>
      </c>
      <c r="P82" s="35">
        <f>1.3/16</f>
        <v>8.1250000000000003E-2</v>
      </c>
      <c r="Q82" s="35">
        <v>2.35</v>
      </c>
      <c r="R82" s="35">
        <v>2.35</v>
      </c>
      <c r="S82" s="91">
        <v>1.33</v>
      </c>
      <c r="T82" s="403"/>
      <c r="U82" s="178"/>
      <c r="V82" s="178"/>
      <c r="W82" s="403"/>
      <c r="X82" s="760"/>
      <c r="Y82" s="178"/>
      <c r="Z82" s="178"/>
      <c r="AA82" s="768"/>
      <c r="AB82" s="28" t="s">
        <v>66</v>
      </c>
      <c r="AC82" s="28" t="s">
        <v>66</v>
      </c>
      <c r="AD82" s="28" t="s">
        <v>66</v>
      </c>
      <c r="AE82" s="28" t="s">
        <v>66</v>
      </c>
      <c r="AF82" s="403"/>
      <c r="AG82" s="178"/>
      <c r="AH82" s="178"/>
      <c r="AI82" s="178"/>
      <c r="AJ82" s="178"/>
      <c r="AK82" s="178"/>
      <c r="AL82" s="39"/>
      <c r="AM82" s="39"/>
      <c r="AN82" s="39"/>
      <c r="AO82" s="178"/>
      <c r="AP82" s="178"/>
      <c r="AQ82" s="178"/>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22"/>
      <c r="IK82" s="22"/>
      <c r="IL82" s="22"/>
      <c r="IM82" s="22"/>
      <c r="IN82" s="22"/>
      <c r="IO82" s="22"/>
      <c r="IP82" s="22"/>
      <c r="IQ82" s="22"/>
      <c r="IR82" s="22"/>
      <c r="IS82" s="22"/>
      <c r="IT82" s="22"/>
      <c r="IU82" s="22"/>
      <c r="IV82" s="22"/>
      <c r="IW82" s="22"/>
      <c r="IX82" s="22"/>
      <c r="IY82" s="22"/>
      <c r="IZ82" s="22"/>
      <c r="JA82" s="22"/>
      <c r="JB82" s="22"/>
      <c r="JC82" s="22"/>
      <c r="JD82" s="22"/>
    </row>
    <row r="83" spans="1:264" s="92" customFormat="1" x14ac:dyDescent="0.25">
      <c r="A83" s="20" t="s">
        <v>2652</v>
      </c>
      <c r="B83" s="22"/>
      <c r="C83" s="24" t="s">
        <v>3023</v>
      </c>
      <c r="D83" s="22"/>
      <c r="E83" s="591" t="s">
        <v>3024</v>
      </c>
      <c r="F83" s="22"/>
      <c r="G83" s="20" t="s">
        <v>2967</v>
      </c>
      <c r="H83" s="664">
        <v>814002011229</v>
      </c>
      <c r="I83" s="178"/>
      <c r="J83" s="178"/>
      <c r="K83" s="731"/>
      <c r="L83" s="261" t="s">
        <v>325</v>
      </c>
      <c r="M83" s="7">
        <v>24.99</v>
      </c>
      <c r="N83" s="22"/>
      <c r="O83" s="37">
        <v>64</v>
      </c>
      <c r="P83" s="35">
        <f>3.7/16</f>
        <v>0.23125000000000001</v>
      </c>
      <c r="Q83" s="35">
        <v>3</v>
      </c>
      <c r="R83" s="35">
        <v>2.4700000000000002</v>
      </c>
      <c r="S83" s="92">
        <v>1.9</v>
      </c>
      <c r="T83" s="35">
        <v>0.32</v>
      </c>
      <c r="U83" s="35">
        <v>7.5</v>
      </c>
      <c r="V83" s="35">
        <v>4.7</v>
      </c>
      <c r="W83" s="35">
        <v>2.8</v>
      </c>
      <c r="X83" s="761"/>
      <c r="Y83" s="22"/>
      <c r="Z83" s="22"/>
      <c r="AA83" s="769"/>
      <c r="AB83" s="28"/>
      <c r="AC83" s="22"/>
      <c r="AD83" s="22"/>
      <c r="AE83" s="769"/>
      <c r="AF83" s="28"/>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c r="FR83" s="22"/>
      <c r="FS83" s="22"/>
      <c r="FT83" s="22"/>
      <c r="FU83" s="22"/>
      <c r="FV83" s="22"/>
      <c r="FW83" s="22"/>
      <c r="FX83" s="22"/>
      <c r="FY83" s="22"/>
      <c r="FZ83" s="22"/>
      <c r="GA83" s="22"/>
      <c r="GB83" s="22"/>
      <c r="GC83" s="22"/>
      <c r="GD83" s="22"/>
      <c r="GE83" s="22"/>
      <c r="GF83" s="22"/>
      <c r="GG83" s="22"/>
      <c r="GH83" s="22"/>
      <c r="GI83" s="22"/>
      <c r="GJ83" s="22"/>
      <c r="GK83" s="22"/>
      <c r="GL83" s="22"/>
      <c r="GM83" s="22"/>
      <c r="GN83" s="22"/>
      <c r="GO83" s="22"/>
      <c r="GP83" s="22"/>
      <c r="GQ83" s="22"/>
      <c r="GR83" s="22"/>
      <c r="GS83" s="22"/>
      <c r="GT83" s="22"/>
      <c r="GU83" s="22"/>
      <c r="GV83" s="22"/>
      <c r="GW83" s="22"/>
      <c r="GX83" s="22"/>
      <c r="GY83" s="22"/>
      <c r="GZ83" s="22"/>
      <c r="HA83" s="22"/>
      <c r="HB83" s="22"/>
      <c r="HC83" s="22"/>
      <c r="HD83" s="22"/>
      <c r="HE83" s="22"/>
      <c r="HF83" s="22"/>
      <c r="HG83" s="22"/>
      <c r="HH83" s="22"/>
      <c r="HI83" s="22"/>
      <c r="HJ83" s="22"/>
      <c r="HK83" s="22"/>
      <c r="HL83" s="22"/>
      <c r="HM83" s="22"/>
      <c r="HN83" s="22"/>
      <c r="HO83" s="22"/>
      <c r="HP83" s="22"/>
      <c r="HQ83" s="22"/>
      <c r="HR83" s="22"/>
      <c r="HS83" s="22"/>
      <c r="HT83" s="22"/>
      <c r="HU83" s="22"/>
      <c r="HV83" s="22"/>
      <c r="HW83" s="22"/>
      <c r="HX83" s="22"/>
      <c r="HY83" s="22"/>
      <c r="HZ83" s="22"/>
      <c r="IA83" s="22"/>
      <c r="IB83" s="22"/>
      <c r="IC83" s="22"/>
      <c r="ID83" s="22"/>
      <c r="IE83" s="22"/>
      <c r="IF83" s="22"/>
      <c r="IG83" s="22"/>
      <c r="IH83" s="22"/>
      <c r="II83" s="22"/>
      <c r="IJ83" s="22"/>
      <c r="IK83" s="22"/>
      <c r="IL83" s="22"/>
      <c r="IM83" s="22"/>
      <c r="IN83" s="22"/>
      <c r="IO83" s="22"/>
      <c r="IP83" s="22"/>
      <c r="IQ83" s="22"/>
      <c r="IR83" s="22"/>
      <c r="IS83" s="22"/>
      <c r="IT83" s="22"/>
      <c r="IU83" s="22"/>
      <c r="IV83" s="22"/>
      <c r="IW83" s="22"/>
      <c r="IX83" s="22"/>
      <c r="IY83" s="22"/>
      <c r="IZ83" s="22"/>
      <c r="JA83" s="22"/>
      <c r="JB83" s="22"/>
      <c r="JC83" s="22"/>
      <c r="JD83" s="22"/>
    </row>
    <row r="84" spans="1:264" x14ac:dyDescent="0.25">
      <c r="A84" s="20" t="s">
        <v>2652</v>
      </c>
      <c r="C84" s="24" t="s">
        <v>3025</v>
      </c>
      <c r="E84" s="591" t="s">
        <v>3026</v>
      </c>
      <c r="G84" s="20" t="s">
        <v>2820</v>
      </c>
      <c r="H84" s="664">
        <v>814002010246</v>
      </c>
      <c r="I84" s="178"/>
      <c r="J84" s="178"/>
      <c r="K84" s="731"/>
      <c r="L84" s="261" t="s">
        <v>325</v>
      </c>
      <c r="M84" s="7">
        <v>19.989999999999998</v>
      </c>
      <c r="O84" s="37">
        <v>10</v>
      </c>
      <c r="P84" s="92">
        <f>5.1/16</f>
        <v>0.31874999999999998</v>
      </c>
      <c r="Q84" s="285">
        <v>3.5</v>
      </c>
      <c r="R84" s="285">
        <v>1.75</v>
      </c>
      <c r="S84" s="92">
        <v>5.75</v>
      </c>
      <c r="T84" s="91">
        <v>0.26</v>
      </c>
      <c r="U84" s="91">
        <v>5.7</v>
      </c>
      <c r="V84" s="91">
        <v>3.8</v>
      </c>
      <c r="W84" s="91">
        <v>1.7</v>
      </c>
      <c r="X84" s="761"/>
      <c r="AA84" s="769"/>
      <c r="AE84" s="769"/>
    </row>
    <row r="85" spans="1:264" x14ac:dyDescent="0.25">
      <c r="A85" s="20" t="s">
        <v>2652</v>
      </c>
      <c r="C85" s="24" t="s">
        <v>3027</v>
      </c>
      <c r="E85" s="591" t="s">
        <v>3028</v>
      </c>
      <c r="G85" s="20" t="s">
        <v>2967</v>
      </c>
      <c r="H85" s="664">
        <v>814002010659</v>
      </c>
      <c r="I85" s="178"/>
      <c r="J85" s="178"/>
      <c r="K85" s="731"/>
      <c r="L85" s="261" t="s">
        <v>325</v>
      </c>
      <c r="M85" s="7">
        <v>6.99</v>
      </c>
      <c r="O85" s="37">
        <v>10</v>
      </c>
      <c r="P85" s="92">
        <f>0.8/16</f>
        <v>0.05</v>
      </c>
      <c r="Q85" s="285">
        <v>1.5</v>
      </c>
      <c r="R85" s="285">
        <v>0.5</v>
      </c>
      <c r="S85" s="92">
        <v>0.19</v>
      </c>
      <c r="T85" s="91">
        <v>0.05</v>
      </c>
      <c r="U85" s="91">
        <v>4</v>
      </c>
      <c r="V85" s="91">
        <v>3.5</v>
      </c>
      <c r="W85" s="91">
        <v>0.3</v>
      </c>
      <c r="X85" s="761"/>
      <c r="AA85" s="769"/>
      <c r="AE85" s="769"/>
    </row>
    <row r="86" spans="1:264" s="92" customFormat="1" x14ac:dyDescent="0.25">
      <c r="A86" s="20" t="s">
        <v>2652</v>
      </c>
      <c r="B86" s="22"/>
      <c r="C86" s="24" t="s">
        <v>3029</v>
      </c>
      <c r="D86" s="22"/>
      <c r="E86" s="591" t="s">
        <v>3030</v>
      </c>
      <c r="F86" s="22"/>
      <c r="G86" s="20" t="s">
        <v>2967</v>
      </c>
      <c r="H86" s="664">
        <v>814002011168</v>
      </c>
      <c r="I86" s="178"/>
      <c r="J86" s="178"/>
      <c r="K86" s="731"/>
      <c r="L86" s="261" t="s">
        <v>325</v>
      </c>
      <c r="M86" s="7">
        <v>11.99</v>
      </c>
      <c r="N86" s="22"/>
      <c r="O86" s="37">
        <v>10</v>
      </c>
      <c r="P86" s="35">
        <v>0.01</v>
      </c>
      <c r="Q86" s="35">
        <v>1.5</v>
      </c>
      <c r="R86" s="35">
        <v>0.7</v>
      </c>
      <c r="S86" s="92">
        <v>0.04</v>
      </c>
      <c r="T86" s="35">
        <v>0.3</v>
      </c>
      <c r="U86" s="35">
        <v>2.2000000000000002</v>
      </c>
      <c r="V86" s="35">
        <v>2</v>
      </c>
      <c r="W86" s="35">
        <v>0.1</v>
      </c>
      <c r="X86" s="761"/>
      <c r="Y86" s="22"/>
      <c r="Z86" s="22"/>
      <c r="AA86" s="769"/>
      <c r="AB86" s="28"/>
      <c r="AC86" s="22"/>
      <c r="AD86" s="22"/>
      <c r="AE86" s="769"/>
      <c r="AF86" s="28"/>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c r="FO86" s="22"/>
      <c r="FP86" s="22"/>
      <c r="FQ86" s="22"/>
      <c r="FR86" s="22"/>
      <c r="FS86" s="22"/>
      <c r="FT86" s="22"/>
      <c r="FU86" s="22"/>
      <c r="FV86" s="22"/>
      <c r="FW86" s="22"/>
      <c r="FX86" s="22"/>
      <c r="FY86" s="22"/>
      <c r="FZ86" s="22"/>
      <c r="GA86" s="22"/>
      <c r="GB86" s="22"/>
      <c r="GC86" s="22"/>
      <c r="GD86" s="22"/>
      <c r="GE86" s="22"/>
      <c r="GF86" s="22"/>
      <c r="GG86" s="22"/>
      <c r="GH86" s="22"/>
      <c r="GI86" s="22"/>
      <c r="GJ86" s="22"/>
      <c r="GK86" s="22"/>
      <c r="GL86" s="22"/>
      <c r="GM86" s="22"/>
      <c r="GN86" s="22"/>
      <c r="GO86" s="22"/>
      <c r="GP86" s="22"/>
      <c r="GQ86" s="22"/>
      <c r="GR86" s="22"/>
      <c r="GS86" s="22"/>
      <c r="GT86" s="22"/>
      <c r="GU86" s="22"/>
      <c r="GV86" s="22"/>
      <c r="GW86" s="22"/>
      <c r="GX86" s="22"/>
      <c r="GY86" s="22"/>
      <c r="GZ86" s="22"/>
      <c r="HA86" s="22"/>
      <c r="HB86" s="22"/>
      <c r="HC86" s="22"/>
      <c r="HD86" s="22"/>
      <c r="HE86" s="22"/>
      <c r="HF86" s="22"/>
      <c r="HG86" s="22"/>
      <c r="HH86" s="22"/>
      <c r="HI86" s="22"/>
      <c r="HJ86" s="22"/>
      <c r="HK86" s="22"/>
      <c r="HL86" s="22"/>
      <c r="HM86" s="22"/>
      <c r="HN86" s="22"/>
      <c r="HO86" s="22"/>
      <c r="HP86" s="22"/>
      <c r="HQ86" s="22"/>
      <c r="HR86" s="22"/>
      <c r="HS86" s="22"/>
      <c r="HT86" s="22"/>
      <c r="HU86" s="22"/>
      <c r="HV86" s="22"/>
      <c r="HW86" s="22"/>
      <c r="HX86" s="22"/>
      <c r="HY86" s="22"/>
      <c r="HZ86" s="22"/>
      <c r="IA86" s="22"/>
      <c r="IB86" s="22"/>
      <c r="IC86" s="22"/>
      <c r="ID86" s="22"/>
      <c r="IE86" s="22"/>
      <c r="IF86" s="22"/>
      <c r="IG86" s="22"/>
      <c r="IH86" s="22"/>
      <c r="II86" s="22"/>
      <c r="IJ86" s="22"/>
      <c r="IK86" s="22"/>
      <c r="IL86" s="22"/>
      <c r="IM86" s="22"/>
      <c r="IN86" s="22"/>
      <c r="IO86" s="22"/>
      <c r="IP86" s="22"/>
      <c r="IQ86" s="22"/>
      <c r="IR86" s="22"/>
      <c r="IS86" s="22"/>
      <c r="IT86" s="22"/>
      <c r="IU86" s="22"/>
      <c r="IV86" s="22"/>
      <c r="IW86" s="22"/>
      <c r="IX86" s="22"/>
      <c r="IY86" s="22"/>
      <c r="IZ86" s="22"/>
      <c r="JA86" s="22"/>
      <c r="JB86" s="22"/>
      <c r="JC86" s="22"/>
      <c r="JD86" s="22"/>
    </row>
    <row r="87" spans="1:264" s="92" customFormat="1" x14ac:dyDescent="0.25">
      <c r="A87" s="20" t="s">
        <v>2652</v>
      </c>
      <c r="B87" s="22"/>
      <c r="C87" s="24" t="s">
        <v>3031</v>
      </c>
      <c r="D87" s="22"/>
      <c r="E87" s="591" t="s">
        <v>3032</v>
      </c>
      <c r="F87" s="22"/>
      <c r="G87" s="20" t="s">
        <v>2967</v>
      </c>
      <c r="H87" s="664">
        <v>814002011670</v>
      </c>
      <c r="I87" s="178"/>
      <c r="J87" s="178"/>
      <c r="K87" s="731"/>
      <c r="L87" s="261" t="s">
        <v>325</v>
      </c>
      <c r="M87" s="7">
        <v>4.99</v>
      </c>
      <c r="N87" s="22"/>
      <c r="O87" s="37">
        <v>10</v>
      </c>
      <c r="P87" s="35">
        <f>0.42/16</f>
        <v>2.6249999999999999E-2</v>
      </c>
      <c r="Q87" s="35">
        <v>3.1</v>
      </c>
      <c r="R87" s="35">
        <v>1</v>
      </c>
      <c r="S87" s="92">
        <v>0.6</v>
      </c>
      <c r="T87" s="35">
        <v>0.03</v>
      </c>
      <c r="U87" s="35">
        <v>3.2</v>
      </c>
      <c r="V87" s="35">
        <v>0.9</v>
      </c>
      <c r="W87" s="35">
        <v>0.5</v>
      </c>
      <c r="X87" s="761"/>
      <c r="Y87" s="22"/>
      <c r="Z87" s="22"/>
      <c r="AA87" s="769"/>
      <c r="AB87" s="28"/>
      <c r="AC87" s="22"/>
      <c r="AD87" s="22"/>
      <c r="AE87" s="769"/>
      <c r="AF87" s="28"/>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c r="FO87" s="22"/>
      <c r="FP87" s="22"/>
      <c r="FQ87" s="22"/>
      <c r="FR87" s="22"/>
      <c r="FS87" s="22"/>
      <c r="FT87" s="22"/>
      <c r="FU87" s="22"/>
      <c r="FV87" s="22"/>
      <c r="FW87" s="22"/>
      <c r="FX87" s="22"/>
      <c r="FY87" s="22"/>
      <c r="FZ87" s="22"/>
      <c r="GA87" s="22"/>
      <c r="GB87" s="22"/>
      <c r="GC87" s="22"/>
      <c r="GD87" s="22"/>
      <c r="GE87" s="22"/>
      <c r="GF87" s="22"/>
      <c r="GG87" s="22"/>
      <c r="GH87" s="22"/>
      <c r="GI87" s="22"/>
      <c r="GJ87" s="22"/>
      <c r="GK87" s="22"/>
      <c r="GL87" s="22"/>
      <c r="GM87" s="22"/>
      <c r="GN87" s="22"/>
      <c r="GO87" s="22"/>
      <c r="GP87" s="22"/>
      <c r="GQ87" s="22"/>
      <c r="GR87" s="22"/>
      <c r="GS87" s="22"/>
      <c r="GT87" s="22"/>
      <c r="GU87" s="22"/>
      <c r="GV87" s="22"/>
      <c r="GW87" s="22"/>
      <c r="GX87" s="22"/>
      <c r="GY87" s="22"/>
      <c r="GZ87" s="22"/>
      <c r="HA87" s="22"/>
      <c r="HB87" s="22"/>
      <c r="HC87" s="22"/>
      <c r="HD87" s="22"/>
      <c r="HE87" s="22"/>
      <c r="HF87" s="22"/>
      <c r="HG87" s="22"/>
      <c r="HH87" s="22"/>
      <c r="HI87" s="22"/>
      <c r="HJ87" s="22"/>
      <c r="HK87" s="22"/>
      <c r="HL87" s="22"/>
      <c r="HM87" s="22"/>
      <c r="HN87" s="22"/>
      <c r="HO87" s="22"/>
      <c r="HP87" s="22"/>
      <c r="HQ87" s="22"/>
      <c r="HR87" s="22"/>
      <c r="HS87" s="22"/>
      <c r="HT87" s="22"/>
      <c r="HU87" s="22"/>
      <c r="HV87" s="22"/>
      <c r="HW87" s="22"/>
      <c r="HX87" s="22"/>
      <c r="HY87" s="22"/>
      <c r="HZ87" s="22"/>
      <c r="IA87" s="22"/>
      <c r="IB87" s="22"/>
      <c r="IC87" s="22"/>
      <c r="ID87" s="22"/>
      <c r="IE87" s="22"/>
      <c r="IF87" s="22"/>
      <c r="IG87" s="22"/>
      <c r="IH87" s="22"/>
      <c r="II87" s="22"/>
      <c r="IJ87" s="22"/>
      <c r="IK87" s="22"/>
      <c r="IL87" s="22"/>
      <c r="IM87" s="22"/>
      <c r="IN87" s="22"/>
      <c r="IO87" s="22"/>
      <c r="IP87" s="22"/>
      <c r="IQ87" s="22"/>
      <c r="IR87" s="22"/>
      <c r="IS87" s="22"/>
      <c r="IT87" s="22"/>
      <c r="IU87" s="22"/>
      <c r="IV87" s="22"/>
      <c r="IW87" s="22"/>
      <c r="IX87" s="22"/>
      <c r="IY87" s="22"/>
      <c r="IZ87" s="22"/>
      <c r="JA87" s="22"/>
      <c r="JB87" s="22"/>
      <c r="JC87" s="22"/>
      <c r="JD87" s="22"/>
    </row>
    <row r="88" spans="1:264" s="92" customFormat="1" x14ac:dyDescent="0.25">
      <c r="A88" s="20" t="s">
        <v>2652</v>
      </c>
      <c r="B88" s="22"/>
      <c r="C88" s="24" t="s">
        <v>3033</v>
      </c>
      <c r="D88" s="22"/>
      <c r="E88" s="591" t="s">
        <v>3034</v>
      </c>
      <c r="F88" s="22"/>
      <c r="G88" s="20" t="s">
        <v>2967</v>
      </c>
      <c r="H88" s="664">
        <v>814002010864</v>
      </c>
      <c r="I88" s="178"/>
      <c r="J88" s="178"/>
      <c r="K88" s="731"/>
      <c r="L88" s="261" t="s">
        <v>325</v>
      </c>
      <c r="M88" s="7">
        <v>19.989999999999998</v>
      </c>
      <c r="N88" s="22"/>
      <c r="O88" s="37">
        <v>10</v>
      </c>
      <c r="P88" s="35">
        <v>0.25</v>
      </c>
      <c r="Q88" s="35">
        <v>5.7</v>
      </c>
      <c r="R88" s="35">
        <v>4.7</v>
      </c>
      <c r="S88" s="92">
        <v>1.3</v>
      </c>
      <c r="T88" s="35">
        <v>0.25</v>
      </c>
      <c r="U88" s="22"/>
      <c r="V88" s="22"/>
      <c r="W88" s="28"/>
      <c r="X88" s="761"/>
      <c r="Y88" s="22"/>
      <c r="Z88" s="22"/>
      <c r="AA88" s="769"/>
      <c r="AB88" s="28"/>
      <c r="AC88" s="22"/>
      <c r="AD88" s="22"/>
      <c r="AE88" s="769"/>
      <c r="AF88" s="28"/>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c r="FO88" s="22"/>
      <c r="FP88" s="22"/>
      <c r="FQ88" s="22"/>
      <c r="FR88" s="22"/>
      <c r="FS88" s="22"/>
      <c r="FT88" s="22"/>
      <c r="FU88" s="22"/>
      <c r="FV88" s="22"/>
      <c r="FW88" s="22"/>
      <c r="FX88" s="22"/>
      <c r="FY88" s="22"/>
      <c r="FZ88" s="22"/>
      <c r="GA88" s="22"/>
      <c r="GB88" s="22"/>
      <c r="GC88" s="22"/>
      <c r="GD88" s="22"/>
      <c r="GE88" s="22"/>
      <c r="GF88" s="22"/>
      <c r="GG88" s="22"/>
      <c r="GH88" s="22"/>
      <c r="GI88" s="22"/>
      <c r="GJ88" s="22"/>
      <c r="GK88" s="22"/>
      <c r="GL88" s="22"/>
      <c r="GM88" s="22"/>
      <c r="GN88" s="22"/>
      <c r="GO88" s="22"/>
      <c r="GP88" s="22"/>
      <c r="GQ88" s="22"/>
      <c r="GR88" s="22"/>
      <c r="GS88" s="22"/>
      <c r="GT88" s="22"/>
      <c r="GU88" s="22"/>
      <c r="GV88" s="22"/>
      <c r="GW88" s="22"/>
      <c r="GX88" s="22"/>
      <c r="GY88" s="22"/>
      <c r="GZ88" s="22"/>
      <c r="HA88" s="22"/>
      <c r="HB88" s="22"/>
      <c r="HC88" s="22"/>
      <c r="HD88" s="22"/>
      <c r="HE88" s="22"/>
      <c r="HF88" s="22"/>
      <c r="HG88" s="22"/>
      <c r="HH88" s="22"/>
      <c r="HI88" s="22"/>
      <c r="HJ88" s="22"/>
      <c r="HK88" s="22"/>
      <c r="HL88" s="22"/>
      <c r="HM88" s="22"/>
      <c r="HN88" s="22"/>
      <c r="HO88" s="22"/>
      <c r="HP88" s="22"/>
      <c r="HQ88" s="22"/>
      <c r="HR88" s="22"/>
      <c r="HS88" s="22"/>
      <c r="HT88" s="22"/>
      <c r="HU88" s="22"/>
      <c r="HV88" s="22"/>
      <c r="HW88" s="22"/>
      <c r="HX88" s="22"/>
      <c r="HY88" s="22"/>
      <c r="HZ88" s="22"/>
      <c r="IA88" s="22"/>
      <c r="IB88" s="22"/>
      <c r="IC88" s="22"/>
      <c r="ID88" s="22"/>
      <c r="IE88" s="22"/>
      <c r="IF88" s="22"/>
      <c r="IG88" s="22"/>
      <c r="IH88" s="22"/>
      <c r="II88" s="22"/>
      <c r="IJ88" s="22"/>
      <c r="IK88" s="22"/>
      <c r="IL88" s="22"/>
      <c r="IM88" s="22"/>
      <c r="IN88" s="22"/>
      <c r="IO88" s="22"/>
      <c r="IP88" s="22"/>
      <c r="IQ88" s="22"/>
      <c r="IR88" s="22"/>
      <c r="IS88" s="22"/>
      <c r="IT88" s="22"/>
      <c r="IU88" s="22"/>
      <c r="IV88" s="22"/>
      <c r="IW88" s="22"/>
      <c r="IX88" s="22"/>
      <c r="IY88" s="22"/>
      <c r="IZ88" s="22"/>
      <c r="JA88" s="22"/>
      <c r="JB88" s="22"/>
      <c r="JC88" s="22"/>
      <c r="JD88" s="22"/>
    </row>
    <row r="89" spans="1:264" s="92" customFormat="1" x14ac:dyDescent="0.25">
      <c r="A89" s="20" t="s">
        <v>2652</v>
      </c>
      <c r="B89" s="22"/>
      <c r="C89" s="24" t="s">
        <v>3035</v>
      </c>
      <c r="D89" s="22"/>
      <c r="E89" s="591" t="s">
        <v>3036</v>
      </c>
      <c r="F89" s="22"/>
      <c r="G89" s="20" t="s">
        <v>2967</v>
      </c>
      <c r="H89" s="664">
        <v>814002010215</v>
      </c>
      <c r="I89" s="178"/>
      <c r="J89" s="178"/>
      <c r="K89" s="731"/>
      <c r="L89" s="261" t="s">
        <v>325</v>
      </c>
      <c r="M89" s="7">
        <v>2.99</v>
      </c>
      <c r="N89" s="22"/>
      <c r="O89" s="37">
        <v>10</v>
      </c>
      <c r="P89" s="35">
        <v>0.01</v>
      </c>
      <c r="Q89" s="35">
        <v>2.6</v>
      </c>
      <c r="R89" s="35">
        <v>1</v>
      </c>
      <c r="S89" s="92">
        <v>0.04</v>
      </c>
      <c r="T89" s="35">
        <v>0.01</v>
      </c>
      <c r="U89" s="35">
        <v>4</v>
      </c>
      <c r="V89" s="35">
        <v>2.75</v>
      </c>
      <c r="W89" s="35">
        <v>0.05</v>
      </c>
      <c r="X89" s="761"/>
      <c r="Y89" s="22"/>
      <c r="Z89" s="22"/>
      <c r="AA89" s="769"/>
      <c r="AB89" s="28"/>
      <c r="AC89" s="22"/>
      <c r="AD89" s="22"/>
      <c r="AE89" s="769"/>
      <c r="AF89" s="28"/>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c r="FU89" s="22"/>
      <c r="FV89" s="22"/>
      <c r="FW89" s="22"/>
      <c r="FX89" s="22"/>
      <c r="FY89" s="22"/>
      <c r="FZ89" s="22"/>
      <c r="GA89" s="22"/>
      <c r="GB89" s="22"/>
      <c r="GC89" s="22"/>
      <c r="GD89" s="22"/>
      <c r="GE89" s="22"/>
      <c r="GF89" s="22"/>
      <c r="GG89" s="22"/>
      <c r="GH89" s="22"/>
      <c r="GI89" s="22"/>
      <c r="GJ89" s="22"/>
      <c r="GK89" s="22"/>
      <c r="GL89" s="22"/>
      <c r="GM89" s="22"/>
      <c r="GN89" s="22"/>
      <c r="GO89" s="22"/>
      <c r="GP89" s="22"/>
      <c r="GQ89" s="22"/>
      <c r="GR89" s="22"/>
      <c r="GS89" s="22"/>
      <c r="GT89" s="22"/>
      <c r="GU89" s="22"/>
      <c r="GV89" s="22"/>
      <c r="GW89" s="22"/>
      <c r="GX89" s="22"/>
      <c r="GY89" s="22"/>
      <c r="GZ89" s="22"/>
      <c r="HA89" s="22"/>
      <c r="HB89" s="22"/>
      <c r="HC89" s="22"/>
      <c r="HD89" s="22"/>
      <c r="HE89" s="22"/>
      <c r="HF89" s="22"/>
      <c r="HG89" s="22"/>
      <c r="HH89" s="22"/>
      <c r="HI89" s="22"/>
      <c r="HJ89" s="22"/>
      <c r="HK89" s="22"/>
      <c r="HL89" s="22"/>
      <c r="HM89" s="22"/>
      <c r="HN89" s="22"/>
      <c r="HO89" s="22"/>
      <c r="HP89" s="22"/>
      <c r="HQ89" s="22"/>
      <c r="HR89" s="22"/>
      <c r="HS89" s="22"/>
      <c r="HT89" s="22"/>
      <c r="HU89" s="22"/>
      <c r="HV89" s="22"/>
      <c r="HW89" s="22"/>
      <c r="HX89" s="22"/>
      <c r="HY89" s="22"/>
      <c r="HZ89" s="22"/>
      <c r="IA89" s="22"/>
      <c r="IB89" s="22"/>
      <c r="IC89" s="22"/>
      <c r="ID89" s="22"/>
      <c r="IE89" s="22"/>
      <c r="IF89" s="22"/>
      <c r="IG89" s="22"/>
      <c r="IH89" s="22"/>
      <c r="II89" s="22"/>
      <c r="IJ89" s="22"/>
      <c r="IK89" s="22"/>
      <c r="IL89" s="22"/>
      <c r="IM89" s="22"/>
      <c r="IN89" s="22"/>
      <c r="IO89" s="22"/>
      <c r="IP89" s="22"/>
      <c r="IQ89" s="22"/>
      <c r="IR89" s="22"/>
      <c r="IS89" s="22"/>
      <c r="IT89" s="22"/>
      <c r="IU89" s="22"/>
      <c r="IV89" s="22"/>
      <c r="IW89" s="22"/>
      <c r="IX89" s="22"/>
      <c r="IY89" s="22"/>
      <c r="IZ89" s="22"/>
      <c r="JA89" s="22"/>
      <c r="JB89" s="22"/>
      <c r="JC89" s="22"/>
      <c r="JD89" s="22"/>
    </row>
    <row r="90" spans="1:264" s="92" customFormat="1" x14ac:dyDescent="0.25">
      <c r="A90" s="20" t="s">
        <v>2652</v>
      </c>
      <c r="B90" s="22"/>
      <c r="C90" s="24" t="s">
        <v>3037</v>
      </c>
      <c r="D90" s="22"/>
      <c r="E90" s="591" t="s">
        <v>3038</v>
      </c>
      <c r="F90" s="22"/>
      <c r="G90" s="20" t="s">
        <v>2821</v>
      </c>
      <c r="H90" s="664">
        <v>814002011243</v>
      </c>
      <c r="I90" s="178"/>
      <c r="J90" s="178"/>
      <c r="K90" s="731"/>
      <c r="L90" s="261" t="s">
        <v>325</v>
      </c>
      <c r="M90" s="7">
        <v>9.99</v>
      </c>
      <c r="N90" s="22"/>
      <c r="O90" s="37">
        <v>10</v>
      </c>
      <c r="P90" s="35">
        <f>1.3/16</f>
        <v>8.1250000000000003E-2</v>
      </c>
      <c r="Q90" s="35">
        <v>4</v>
      </c>
      <c r="R90" s="35">
        <v>3</v>
      </c>
      <c r="S90" s="92">
        <v>2.8</v>
      </c>
      <c r="T90" s="35">
        <v>0.1</v>
      </c>
      <c r="U90" s="35">
        <v>4.4000000000000004</v>
      </c>
      <c r="V90" s="35">
        <v>3.7</v>
      </c>
      <c r="W90" s="35">
        <v>2.6</v>
      </c>
      <c r="X90" s="761"/>
      <c r="Y90" s="22"/>
      <c r="Z90" s="22"/>
      <c r="AA90" s="769"/>
      <c r="AB90" s="28"/>
      <c r="AC90" s="22"/>
      <c r="AD90" s="22"/>
      <c r="AE90" s="769"/>
      <c r="AF90" s="28"/>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22"/>
      <c r="GC90" s="22"/>
      <c r="GD90" s="22"/>
      <c r="GE90" s="22"/>
      <c r="GF90" s="22"/>
      <c r="GG90" s="22"/>
      <c r="GH90" s="22"/>
      <c r="GI90" s="22"/>
      <c r="GJ90" s="22"/>
      <c r="GK90" s="22"/>
      <c r="GL90" s="22"/>
      <c r="GM90" s="22"/>
      <c r="GN90" s="22"/>
      <c r="GO90" s="22"/>
      <c r="GP90" s="22"/>
      <c r="GQ90" s="22"/>
      <c r="GR90" s="22"/>
      <c r="GS90" s="22"/>
      <c r="GT90" s="22"/>
      <c r="GU90" s="22"/>
      <c r="GV90" s="22"/>
      <c r="GW90" s="22"/>
      <c r="GX90" s="22"/>
      <c r="GY90" s="22"/>
      <c r="GZ90" s="22"/>
      <c r="HA90" s="22"/>
      <c r="HB90" s="22"/>
      <c r="HC90" s="22"/>
      <c r="HD90" s="22"/>
      <c r="HE90" s="22"/>
      <c r="HF90" s="22"/>
      <c r="HG90" s="22"/>
      <c r="HH90" s="22"/>
      <c r="HI90" s="22"/>
      <c r="HJ90" s="22"/>
      <c r="HK90" s="22"/>
      <c r="HL90" s="22"/>
      <c r="HM90" s="22"/>
      <c r="HN90" s="22"/>
      <c r="HO90" s="22"/>
      <c r="HP90" s="22"/>
      <c r="HQ90" s="22"/>
      <c r="HR90" s="22"/>
      <c r="HS90" s="22"/>
      <c r="HT90" s="22"/>
      <c r="HU90" s="22"/>
      <c r="HV90" s="22"/>
      <c r="HW90" s="22"/>
      <c r="HX90" s="22"/>
      <c r="HY90" s="22"/>
      <c r="HZ90" s="22"/>
      <c r="IA90" s="22"/>
      <c r="IB90" s="22"/>
      <c r="IC90" s="22"/>
      <c r="ID90" s="22"/>
      <c r="IE90" s="22"/>
      <c r="IF90" s="22"/>
      <c r="IG90" s="22"/>
      <c r="IH90" s="22"/>
      <c r="II90" s="22"/>
      <c r="IJ90" s="22"/>
      <c r="IK90" s="22"/>
      <c r="IL90" s="22"/>
      <c r="IM90" s="22"/>
      <c r="IN90" s="22"/>
      <c r="IO90" s="22"/>
      <c r="IP90" s="22"/>
      <c r="IQ90" s="22"/>
      <c r="IR90" s="22"/>
      <c r="IS90" s="22"/>
      <c r="IT90" s="22"/>
      <c r="IU90" s="22"/>
      <c r="IV90" s="22"/>
      <c r="IW90" s="22"/>
      <c r="IX90" s="22"/>
      <c r="IY90" s="22"/>
      <c r="IZ90" s="22"/>
      <c r="JA90" s="22"/>
      <c r="JB90" s="22"/>
      <c r="JC90" s="22"/>
      <c r="JD90" s="22"/>
    </row>
    <row r="91" spans="1:264" s="92" customFormat="1" x14ac:dyDescent="0.25">
      <c r="A91" s="20" t="s">
        <v>2652</v>
      </c>
      <c r="B91" s="22"/>
      <c r="C91" s="24" t="s">
        <v>3039</v>
      </c>
      <c r="D91" s="22"/>
      <c r="E91" s="591" t="s">
        <v>3040</v>
      </c>
      <c r="F91" s="22"/>
      <c r="G91" s="20" t="s">
        <v>3041</v>
      </c>
      <c r="H91" s="664">
        <v>855712000264</v>
      </c>
      <c r="I91" s="178"/>
      <c r="J91" s="178"/>
      <c r="K91" s="731"/>
      <c r="L91" s="261" t="s">
        <v>325</v>
      </c>
      <c r="M91" s="7">
        <v>7.99</v>
      </c>
      <c r="N91" s="22"/>
      <c r="O91" s="37">
        <v>10</v>
      </c>
      <c r="P91" s="35">
        <f>1.6/16</f>
        <v>0.1</v>
      </c>
      <c r="Q91" s="35">
        <v>4.0999999999999996</v>
      </c>
      <c r="R91" s="35">
        <v>2.95</v>
      </c>
      <c r="S91" s="92">
        <v>1.77</v>
      </c>
      <c r="T91" s="35">
        <v>0.13</v>
      </c>
      <c r="U91" s="35">
        <v>7.1</v>
      </c>
      <c r="V91" s="35">
        <v>3.9</v>
      </c>
      <c r="W91" s="35">
        <v>1.6</v>
      </c>
      <c r="X91" s="761"/>
      <c r="Y91" s="22"/>
      <c r="Z91" s="22"/>
      <c r="AA91" s="769"/>
      <c r="AB91" s="28"/>
      <c r="AC91" s="22"/>
      <c r="AD91" s="22"/>
      <c r="AE91" s="769"/>
      <c r="AF91" s="28"/>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c r="FU91" s="22"/>
      <c r="FV91" s="22"/>
      <c r="FW91" s="22"/>
      <c r="FX91" s="22"/>
      <c r="FY91" s="22"/>
      <c r="FZ91" s="22"/>
      <c r="GA91" s="22"/>
      <c r="GB91" s="22"/>
      <c r="GC91" s="22"/>
      <c r="GD91" s="22"/>
      <c r="GE91" s="22"/>
      <c r="GF91" s="22"/>
      <c r="GG91" s="22"/>
      <c r="GH91" s="22"/>
      <c r="GI91" s="22"/>
      <c r="GJ91" s="22"/>
      <c r="GK91" s="22"/>
      <c r="GL91" s="22"/>
      <c r="GM91" s="22"/>
      <c r="GN91" s="22"/>
      <c r="GO91" s="22"/>
      <c r="GP91" s="22"/>
      <c r="GQ91" s="22"/>
      <c r="GR91" s="22"/>
      <c r="GS91" s="22"/>
      <c r="GT91" s="22"/>
      <c r="GU91" s="22"/>
      <c r="GV91" s="22"/>
      <c r="GW91" s="22"/>
      <c r="GX91" s="22"/>
      <c r="GY91" s="22"/>
      <c r="GZ91" s="22"/>
      <c r="HA91" s="22"/>
      <c r="HB91" s="22"/>
      <c r="HC91" s="22"/>
      <c r="HD91" s="22"/>
      <c r="HE91" s="22"/>
      <c r="HF91" s="22"/>
      <c r="HG91" s="22"/>
      <c r="HH91" s="22"/>
      <c r="HI91" s="22"/>
      <c r="HJ91" s="22"/>
      <c r="HK91" s="22"/>
      <c r="HL91" s="22"/>
      <c r="HM91" s="22"/>
      <c r="HN91" s="22"/>
      <c r="HO91" s="22"/>
      <c r="HP91" s="22"/>
      <c r="HQ91" s="22"/>
      <c r="HR91" s="22"/>
      <c r="HS91" s="22"/>
      <c r="HT91" s="22"/>
      <c r="HU91" s="22"/>
      <c r="HV91" s="22"/>
      <c r="HW91" s="22"/>
      <c r="HX91" s="22"/>
      <c r="HY91" s="22"/>
      <c r="HZ91" s="22"/>
      <c r="IA91" s="22"/>
      <c r="IB91" s="22"/>
      <c r="IC91" s="22"/>
      <c r="ID91" s="22"/>
      <c r="IE91" s="22"/>
      <c r="IF91" s="22"/>
      <c r="IG91" s="22"/>
      <c r="IH91" s="22"/>
      <c r="II91" s="22"/>
      <c r="IJ91" s="22"/>
      <c r="IK91" s="22"/>
      <c r="IL91" s="22"/>
      <c r="IM91" s="22"/>
      <c r="IN91" s="22"/>
      <c r="IO91" s="22"/>
      <c r="IP91" s="22"/>
      <c r="IQ91" s="22"/>
      <c r="IR91" s="22"/>
      <c r="IS91" s="22"/>
      <c r="IT91" s="22"/>
      <c r="IU91" s="22"/>
      <c r="IV91" s="22"/>
      <c r="IW91" s="22"/>
      <c r="IX91" s="22"/>
      <c r="IY91" s="22"/>
      <c r="IZ91" s="22"/>
      <c r="JA91" s="22"/>
      <c r="JB91" s="22"/>
      <c r="JC91" s="22"/>
      <c r="JD91" s="22"/>
    </row>
    <row r="92" spans="1:264" s="92" customFormat="1" x14ac:dyDescent="0.25">
      <c r="A92" s="20" t="s">
        <v>2652</v>
      </c>
      <c r="B92" s="22"/>
      <c r="C92" s="24" t="s">
        <v>3042</v>
      </c>
      <c r="D92" s="22"/>
      <c r="E92" s="591" t="s">
        <v>3043</v>
      </c>
      <c r="F92" s="22"/>
      <c r="G92" s="20" t="s">
        <v>3041</v>
      </c>
      <c r="H92" s="664">
        <v>855712000219</v>
      </c>
      <c r="I92" s="178"/>
      <c r="J92" s="178"/>
      <c r="K92" s="731"/>
      <c r="L92" s="261" t="s">
        <v>325</v>
      </c>
      <c r="M92" s="7">
        <v>9.99</v>
      </c>
      <c r="N92" s="22"/>
      <c r="O92" s="37">
        <v>10</v>
      </c>
      <c r="P92" s="35">
        <v>0.25</v>
      </c>
      <c r="Q92" s="35">
        <v>5.0999999999999996</v>
      </c>
      <c r="R92" s="35">
        <v>3.9</v>
      </c>
      <c r="S92" s="92">
        <v>2</v>
      </c>
      <c r="T92" s="35">
        <v>0.31</v>
      </c>
      <c r="U92" s="35">
        <v>7.9</v>
      </c>
      <c r="V92" s="35">
        <v>3.9</v>
      </c>
      <c r="W92" s="35">
        <v>2.2000000000000002</v>
      </c>
      <c r="X92" s="761"/>
      <c r="Y92" s="22"/>
      <c r="Z92" s="22"/>
      <c r="AA92" s="769"/>
      <c r="AB92" s="28"/>
      <c r="AC92" s="22"/>
      <c r="AD92" s="22"/>
      <c r="AE92" s="769"/>
      <c r="AF92" s="28"/>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c r="FR92" s="22"/>
      <c r="FS92" s="22"/>
      <c r="FT92" s="22"/>
      <c r="FU92" s="22"/>
      <c r="FV92" s="22"/>
      <c r="FW92" s="22"/>
      <c r="FX92" s="22"/>
      <c r="FY92" s="22"/>
      <c r="FZ92" s="22"/>
      <c r="GA92" s="22"/>
      <c r="GB92" s="22"/>
      <c r="GC92" s="22"/>
      <c r="GD92" s="22"/>
      <c r="GE92" s="22"/>
      <c r="GF92" s="22"/>
      <c r="GG92" s="22"/>
      <c r="GH92" s="22"/>
      <c r="GI92" s="22"/>
      <c r="GJ92" s="22"/>
      <c r="GK92" s="22"/>
      <c r="GL92" s="22"/>
      <c r="GM92" s="22"/>
      <c r="GN92" s="22"/>
      <c r="GO92" s="22"/>
      <c r="GP92" s="22"/>
      <c r="GQ92" s="22"/>
      <c r="GR92" s="22"/>
      <c r="GS92" s="22"/>
      <c r="GT92" s="22"/>
      <c r="GU92" s="22"/>
      <c r="GV92" s="22"/>
      <c r="GW92" s="22"/>
      <c r="GX92" s="22"/>
      <c r="GY92" s="22"/>
      <c r="GZ92" s="22"/>
      <c r="HA92" s="22"/>
      <c r="HB92" s="22"/>
      <c r="HC92" s="22"/>
      <c r="HD92" s="22"/>
      <c r="HE92" s="22"/>
      <c r="HF92" s="22"/>
      <c r="HG92" s="22"/>
      <c r="HH92" s="22"/>
      <c r="HI92" s="22"/>
      <c r="HJ92" s="22"/>
      <c r="HK92" s="22"/>
      <c r="HL92" s="22"/>
      <c r="HM92" s="22"/>
      <c r="HN92" s="22"/>
      <c r="HO92" s="22"/>
      <c r="HP92" s="22"/>
      <c r="HQ92" s="22"/>
      <c r="HR92" s="22"/>
      <c r="HS92" s="22"/>
      <c r="HT92" s="22"/>
      <c r="HU92" s="22"/>
      <c r="HV92" s="22"/>
      <c r="HW92" s="22"/>
      <c r="HX92" s="22"/>
      <c r="HY92" s="22"/>
      <c r="HZ92" s="22"/>
      <c r="IA92" s="22"/>
      <c r="IB92" s="22"/>
      <c r="IC92" s="22"/>
      <c r="ID92" s="22"/>
      <c r="IE92" s="22"/>
      <c r="IF92" s="22"/>
      <c r="IG92" s="22"/>
      <c r="IH92" s="22"/>
      <c r="II92" s="22"/>
      <c r="IJ92" s="22"/>
      <c r="IK92" s="22"/>
      <c r="IL92" s="22"/>
      <c r="IM92" s="22"/>
      <c r="IN92" s="22"/>
      <c r="IO92" s="22"/>
      <c r="IP92" s="22"/>
      <c r="IQ92" s="22"/>
      <c r="IR92" s="22"/>
      <c r="IS92" s="22"/>
      <c r="IT92" s="22"/>
      <c r="IU92" s="22"/>
      <c r="IV92" s="22"/>
      <c r="IW92" s="22"/>
      <c r="IX92" s="22"/>
      <c r="IY92" s="22"/>
      <c r="IZ92" s="22"/>
      <c r="JA92" s="22"/>
      <c r="JB92" s="22"/>
      <c r="JC92" s="22"/>
      <c r="JD92" s="22"/>
    </row>
    <row r="93" spans="1:264" s="92" customFormat="1" x14ac:dyDescent="0.25">
      <c r="A93" s="20" t="s">
        <v>2652</v>
      </c>
      <c r="B93" s="22"/>
      <c r="C93" s="24" t="s">
        <v>3044</v>
      </c>
      <c r="D93" s="22"/>
      <c r="E93" s="591" t="s">
        <v>3045</v>
      </c>
      <c r="F93" s="22"/>
      <c r="G93" s="20" t="s">
        <v>3041</v>
      </c>
      <c r="H93" s="664">
        <v>855712000288</v>
      </c>
      <c r="I93" s="178"/>
      <c r="J93" s="178"/>
      <c r="K93" s="731"/>
      <c r="L93" s="261" t="s">
        <v>325</v>
      </c>
      <c r="M93" s="7">
        <v>14.99</v>
      </c>
      <c r="N93" s="22"/>
      <c r="O93" s="37">
        <v>10</v>
      </c>
      <c r="P93" s="35">
        <f>8.8/16</f>
        <v>0.55000000000000004</v>
      </c>
      <c r="Q93" s="35">
        <v>6.7</v>
      </c>
      <c r="R93" s="35">
        <v>5.5</v>
      </c>
      <c r="S93" s="92">
        <v>2.75</v>
      </c>
      <c r="T93" s="35">
        <v>0.62</v>
      </c>
      <c r="U93" s="35">
        <v>9.1</v>
      </c>
      <c r="V93" s="35">
        <v>5.2</v>
      </c>
      <c r="W93" s="35">
        <v>2.6</v>
      </c>
      <c r="X93" s="761"/>
      <c r="Y93" s="22"/>
      <c r="Z93" s="22"/>
      <c r="AA93" s="769"/>
      <c r="AB93" s="28"/>
      <c r="AC93" s="22"/>
      <c r="AD93" s="22"/>
      <c r="AE93" s="769"/>
      <c r="AF93" s="28"/>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c r="FO93" s="22"/>
      <c r="FP93" s="22"/>
      <c r="FQ93" s="22"/>
      <c r="FR93" s="22"/>
      <c r="FS93" s="22"/>
      <c r="FT93" s="22"/>
      <c r="FU93" s="22"/>
      <c r="FV93" s="22"/>
      <c r="FW93" s="22"/>
      <c r="FX93" s="22"/>
      <c r="FY93" s="22"/>
      <c r="FZ93" s="22"/>
      <c r="GA93" s="22"/>
      <c r="GB93" s="22"/>
      <c r="GC93" s="22"/>
      <c r="GD93" s="22"/>
      <c r="GE93" s="22"/>
      <c r="GF93" s="22"/>
      <c r="GG93" s="22"/>
      <c r="GH93" s="22"/>
      <c r="GI93" s="22"/>
      <c r="GJ93" s="22"/>
      <c r="GK93" s="22"/>
      <c r="GL93" s="22"/>
      <c r="GM93" s="22"/>
      <c r="GN93" s="22"/>
      <c r="GO93" s="22"/>
      <c r="GP93" s="22"/>
      <c r="GQ93" s="22"/>
      <c r="GR93" s="22"/>
      <c r="GS93" s="22"/>
      <c r="GT93" s="22"/>
      <c r="GU93" s="22"/>
      <c r="GV93" s="22"/>
      <c r="GW93" s="22"/>
      <c r="GX93" s="22"/>
      <c r="GY93" s="22"/>
      <c r="GZ93" s="22"/>
      <c r="HA93" s="22"/>
      <c r="HB93" s="22"/>
      <c r="HC93" s="22"/>
      <c r="HD93" s="22"/>
      <c r="HE93" s="22"/>
      <c r="HF93" s="22"/>
      <c r="HG93" s="22"/>
      <c r="HH93" s="22"/>
      <c r="HI93" s="22"/>
      <c r="HJ93" s="22"/>
      <c r="HK93" s="22"/>
      <c r="HL93" s="22"/>
      <c r="HM93" s="22"/>
      <c r="HN93" s="22"/>
      <c r="HO93" s="22"/>
      <c r="HP93" s="22"/>
      <c r="HQ93" s="22"/>
      <c r="HR93" s="22"/>
      <c r="HS93" s="22"/>
      <c r="HT93" s="22"/>
      <c r="HU93" s="22"/>
      <c r="HV93" s="22"/>
      <c r="HW93" s="22"/>
      <c r="HX93" s="22"/>
      <c r="HY93" s="22"/>
      <c r="HZ93" s="22"/>
      <c r="IA93" s="22"/>
      <c r="IB93" s="22"/>
      <c r="IC93" s="22"/>
      <c r="ID93" s="22"/>
      <c r="IE93" s="22"/>
      <c r="IF93" s="22"/>
      <c r="IG93" s="22"/>
      <c r="IH93" s="22"/>
      <c r="II93" s="22"/>
      <c r="IJ93" s="22"/>
      <c r="IK93" s="22"/>
      <c r="IL93" s="22"/>
      <c r="IM93" s="22"/>
      <c r="IN93" s="22"/>
      <c r="IO93" s="22"/>
      <c r="IP93" s="22"/>
      <c r="IQ93" s="22"/>
      <c r="IR93" s="22"/>
      <c r="IS93" s="22"/>
      <c r="IT93" s="22"/>
      <c r="IU93" s="22"/>
      <c r="IV93" s="22"/>
      <c r="IW93" s="22"/>
      <c r="IX93" s="22"/>
      <c r="IY93" s="22"/>
      <c r="IZ93" s="22"/>
      <c r="JA93" s="22"/>
      <c r="JB93" s="22"/>
      <c r="JC93" s="22"/>
      <c r="JD93" s="22"/>
    </row>
    <row r="94" spans="1:264" s="92" customFormat="1" x14ac:dyDescent="0.25">
      <c r="A94" s="20" t="s">
        <v>2652</v>
      </c>
      <c r="B94" s="22"/>
      <c r="C94" s="24" t="s">
        <v>3046</v>
      </c>
      <c r="D94" s="22"/>
      <c r="E94" s="591" t="s">
        <v>3047</v>
      </c>
      <c r="F94" s="22"/>
      <c r="G94" s="20" t="s">
        <v>3041</v>
      </c>
      <c r="H94" s="664">
        <v>855712000963</v>
      </c>
      <c r="I94" s="178"/>
      <c r="J94" s="178"/>
      <c r="K94" s="731"/>
      <c r="L94" s="261" t="s">
        <v>325</v>
      </c>
      <c r="M94" s="7">
        <v>19.989999999999998</v>
      </c>
      <c r="N94" s="22"/>
      <c r="O94" s="37">
        <v>10</v>
      </c>
      <c r="P94" s="35">
        <f>4.8/16</f>
        <v>0.3</v>
      </c>
      <c r="Q94" s="35">
        <v>5.0999999999999996</v>
      </c>
      <c r="R94" s="35">
        <v>4.7</v>
      </c>
      <c r="S94" s="92">
        <v>2.75</v>
      </c>
      <c r="T94" s="35">
        <v>0.3</v>
      </c>
      <c r="U94" s="35">
        <v>5.0999999999999996</v>
      </c>
      <c r="V94" s="35">
        <v>4.7</v>
      </c>
      <c r="W94" s="35">
        <v>2.75</v>
      </c>
      <c r="X94" s="761"/>
      <c r="Y94" s="22"/>
      <c r="Z94" s="22"/>
      <c r="AA94" s="769"/>
      <c r="AB94" s="28"/>
      <c r="AC94" s="22"/>
      <c r="AD94" s="22"/>
      <c r="AE94" s="769"/>
      <c r="AF94" s="28"/>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c r="FO94" s="22"/>
      <c r="FP94" s="22"/>
      <c r="FQ94" s="22"/>
      <c r="FR94" s="22"/>
      <c r="FS94" s="22"/>
      <c r="FT94" s="22"/>
      <c r="FU94" s="22"/>
      <c r="FV94" s="22"/>
      <c r="FW94" s="22"/>
      <c r="FX94" s="22"/>
      <c r="FY94" s="22"/>
      <c r="FZ94" s="22"/>
      <c r="GA94" s="22"/>
      <c r="GB94" s="22"/>
      <c r="GC94" s="22"/>
      <c r="GD94" s="22"/>
      <c r="GE94" s="22"/>
      <c r="GF94" s="22"/>
      <c r="GG94" s="22"/>
      <c r="GH94" s="22"/>
      <c r="GI94" s="22"/>
      <c r="GJ94" s="22"/>
      <c r="GK94" s="22"/>
      <c r="GL94" s="22"/>
      <c r="GM94" s="22"/>
      <c r="GN94" s="22"/>
      <c r="GO94" s="22"/>
      <c r="GP94" s="22"/>
      <c r="GQ94" s="22"/>
      <c r="GR94" s="22"/>
      <c r="GS94" s="22"/>
      <c r="GT94" s="22"/>
      <c r="GU94" s="22"/>
      <c r="GV94" s="22"/>
      <c r="GW94" s="22"/>
      <c r="GX94" s="22"/>
      <c r="GY94" s="22"/>
      <c r="GZ94" s="22"/>
      <c r="HA94" s="22"/>
      <c r="HB94" s="22"/>
      <c r="HC94" s="22"/>
      <c r="HD94" s="22"/>
      <c r="HE94" s="22"/>
      <c r="HF94" s="22"/>
      <c r="HG94" s="22"/>
      <c r="HH94" s="22"/>
      <c r="HI94" s="22"/>
      <c r="HJ94" s="22"/>
      <c r="HK94" s="22"/>
      <c r="HL94" s="22"/>
      <c r="HM94" s="22"/>
      <c r="HN94" s="22"/>
      <c r="HO94" s="22"/>
      <c r="HP94" s="22"/>
      <c r="HQ94" s="22"/>
      <c r="HR94" s="22"/>
      <c r="HS94" s="22"/>
      <c r="HT94" s="22"/>
      <c r="HU94" s="22"/>
      <c r="HV94" s="22"/>
      <c r="HW94" s="22"/>
      <c r="HX94" s="22"/>
      <c r="HY94" s="22"/>
      <c r="HZ94" s="22"/>
      <c r="IA94" s="22"/>
      <c r="IB94" s="22"/>
      <c r="IC94" s="22"/>
      <c r="ID94" s="22"/>
      <c r="IE94" s="22"/>
      <c r="IF94" s="22"/>
      <c r="IG94" s="22"/>
      <c r="IH94" s="22"/>
      <c r="II94" s="22"/>
      <c r="IJ94" s="22"/>
      <c r="IK94" s="22"/>
      <c r="IL94" s="22"/>
      <c r="IM94" s="22"/>
      <c r="IN94" s="22"/>
      <c r="IO94" s="22"/>
      <c r="IP94" s="22"/>
      <c r="IQ94" s="22"/>
      <c r="IR94" s="22"/>
      <c r="IS94" s="22"/>
      <c r="IT94" s="22"/>
      <c r="IU94" s="22"/>
      <c r="IV94" s="22"/>
      <c r="IW94" s="22"/>
      <c r="IX94" s="22"/>
      <c r="IY94" s="22"/>
      <c r="IZ94" s="22"/>
      <c r="JA94" s="22"/>
      <c r="JB94" s="22"/>
      <c r="JC94" s="22"/>
      <c r="JD94" s="22"/>
    </row>
    <row r="95" spans="1:264" s="92" customFormat="1" ht="15.6" x14ac:dyDescent="0.3">
      <c r="A95" s="108" t="s">
        <v>3048</v>
      </c>
      <c r="B95" s="108"/>
      <c r="C95" s="22"/>
      <c r="D95" s="22"/>
      <c r="E95" s="22"/>
      <c r="F95" s="22"/>
      <c r="G95" s="22"/>
      <c r="H95" s="22"/>
      <c r="I95" s="22"/>
      <c r="J95" s="22"/>
      <c r="K95" s="12"/>
      <c r="L95" s="47"/>
      <c r="M95" s="22"/>
      <c r="N95" s="22"/>
      <c r="O95" s="28"/>
      <c r="P95" s="35"/>
      <c r="Q95" s="35"/>
      <c r="R95" s="35"/>
      <c r="T95" s="28"/>
      <c r="U95" s="22"/>
      <c r="V95" s="22"/>
      <c r="W95" s="28"/>
      <c r="X95" s="761"/>
      <c r="Y95" s="22"/>
      <c r="Z95" s="22"/>
      <c r="AA95" s="769"/>
      <c r="AB95" s="28"/>
      <c r="AC95" s="22"/>
      <c r="AD95" s="22"/>
      <c r="AE95" s="769"/>
      <c r="AF95" s="28"/>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c r="FR95" s="22"/>
      <c r="FS95" s="22"/>
      <c r="FT95" s="22"/>
      <c r="FU95" s="22"/>
      <c r="FV95" s="22"/>
      <c r="FW95" s="22"/>
      <c r="FX95" s="22"/>
      <c r="FY95" s="22"/>
      <c r="FZ95" s="22"/>
      <c r="GA95" s="22"/>
      <c r="GB95" s="22"/>
      <c r="GC95" s="22"/>
      <c r="GD95" s="22"/>
      <c r="GE95" s="22"/>
      <c r="GF95" s="22"/>
      <c r="GG95" s="22"/>
      <c r="GH95" s="22"/>
      <c r="GI95" s="22"/>
      <c r="GJ95" s="22"/>
      <c r="GK95" s="22"/>
      <c r="GL95" s="22"/>
      <c r="GM95" s="22"/>
      <c r="GN95" s="22"/>
      <c r="GO95" s="22"/>
      <c r="GP95" s="22"/>
      <c r="GQ95" s="22"/>
      <c r="GR95" s="22"/>
      <c r="GS95" s="22"/>
      <c r="GT95" s="22"/>
      <c r="GU95" s="22"/>
      <c r="GV95" s="22"/>
      <c r="GW95" s="22"/>
      <c r="GX95" s="22"/>
      <c r="GY95" s="22"/>
      <c r="GZ95" s="22"/>
      <c r="HA95" s="22"/>
      <c r="HB95" s="22"/>
      <c r="HC95" s="22"/>
      <c r="HD95" s="22"/>
      <c r="HE95" s="22"/>
      <c r="HF95" s="22"/>
      <c r="HG95" s="22"/>
      <c r="HH95" s="22"/>
      <c r="HI95" s="22"/>
      <c r="HJ95" s="22"/>
      <c r="HK95" s="22"/>
      <c r="HL95" s="22"/>
      <c r="HM95" s="22"/>
      <c r="HN95" s="22"/>
      <c r="HO95" s="22"/>
      <c r="HP95" s="22"/>
      <c r="HQ95" s="22"/>
      <c r="HR95" s="22"/>
      <c r="HS95" s="22"/>
      <c r="HT95" s="22"/>
      <c r="HU95" s="22"/>
      <c r="HV95" s="22"/>
      <c r="HW95" s="22"/>
      <c r="HX95" s="22"/>
      <c r="HY95" s="22"/>
      <c r="HZ95" s="22"/>
      <c r="IA95" s="22"/>
      <c r="IB95" s="22"/>
      <c r="IC95" s="22"/>
      <c r="ID95" s="22"/>
      <c r="IE95" s="22"/>
      <c r="IF95" s="22"/>
      <c r="IG95" s="22"/>
      <c r="IH95" s="22"/>
      <c r="II95" s="22"/>
      <c r="IJ95" s="22"/>
      <c r="IK95" s="22"/>
      <c r="IL95" s="22"/>
      <c r="IM95" s="22"/>
      <c r="IN95" s="22"/>
      <c r="IO95" s="22"/>
      <c r="IP95" s="22"/>
      <c r="IQ95" s="22"/>
      <c r="IR95" s="22"/>
      <c r="IS95" s="22"/>
      <c r="IT95" s="22"/>
      <c r="IU95" s="22"/>
      <c r="IV95" s="22"/>
      <c r="IW95" s="22"/>
      <c r="IX95" s="22"/>
      <c r="IY95" s="22"/>
      <c r="IZ95" s="22"/>
      <c r="JA95" s="22"/>
      <c r="JB95" s="22"/>
      <c r="JC95" s="22"/>
      <c r="JD95" s="22"/>
    </row>
    <row r="96" spans="1:264" s="92" customFormat="1" x14ac:dyDescent="0.25">
      <c r="A96" s="20" t="s">
        <v>2652</v>
      </c>
      <c r="B96" s="22"/>
      <c r="C96" s="24" t="s">
        <v>3049</v>
      </c>
      <c r="D96" s="22"/>
      <c r="E96" s="591" t="s">
        <v>3050</v>
      </c>
      <c r="F96" s="22"/>
      <c r="G96" s="20" t="s">
        <v>2821</v>
      </c>
      <c r="H96" s="664">
        <v>855712000844</v>
      </c>
      <c r="I96" s="178"/>
      <c r="J96" s="178"/>
      <c r="K96" s="731"/>
      <c r="L96" s="47" t="s">
        <v>325</v>
      </c>
      <c r="M96" s="7">
        <v>24.99</v>
      </c>
      <c r="N96" s="22"/>
      <c r="O96" s="37">
        <v>10</v>
      </c>
      <c r="P96" s="35">
        <f>0.6/16</f>
        <v>3.7499999999999999E-2</v>
      </c>
      <c r="Q96" s="35">
        <v>27.6</v>
      </c>
      <c r="R96" s="35"/>
      <c r="T96" s="92">
        <f>0.9/16</f>
        <v>5.6250000000000001E-2</v>
      </c>
      <c r="U96" s="35">
        <v>4.9000000000000004</v>
      </c>
      <c r="V96" s="35">
        <v>4.2</v>
      </c>
      <c r="W96" s="35">
        <v>0.9</v>
      </c>
      <c r="X96" s="761"/>
      <c r="Y96" s="22"/>
      <c r="Z96" s="22"/>
      <c r="AA96" s="769"/>
      <c r="AB96" s="28"/>
      <c r="AC96" s="22"/>
      <c r="AD96" s="22"/>
      <c r="AE96" s="769"/>
      <c r="AF96" s="28"/>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c r="FR96" s="22"/>
      <c r="FS96" s="22"/>
      <c r="FT96" s="22"/>
      <c r="FU96" s="22"/>
      <c r="FV96" s="22"/>
      <c r="FW96" s="22"/>
      <c r="FX96" s="22"/>
      <c r="FY96" s="22"/>
      <c r="FZ96" s="22"/>
      <c r="GA96" s="22"/>
      <c r="GB96" s="22"/>
      <c r="GC96" s="22"/>
      <c r="GD96" s="22"/>
      <c r="GE96" s="22"/>
      <c r="GF96" s="22"/>
      <c r="GG96" s="22"/>
      <c r="GH96" s="22"/>
      <c r="GI96" s="22"/>
      <c r="GJ96" s="22"/>
      <c r="GK96" s="22"/>
      <c r="GL96" s="22"/>
      <c r="GM96" s="22"/>
      <c r="GN96" s="22"/>
      <c r="GO96" s="22"/>
      <c r="GP96" s="22"/>
      <c r="GQ96" s="22"/>
      <c r="GR96" s="22"/>
      <c r="GS96" s="22"/>
      <c r="GT96" s="22"/>
      <c r="GU96" s="22"/>
      <c r="GV96" s="22"/>
      <c r="GW96" s="22"/>
      <c r="GX96" s="22"/>
      <c r="GY96" s="22"/>
      <c r="GZ96" s="22"/>
      <c r="HA96" s="22"/>
      <c r="HB96" s="22"/>
      <c r="HC96" s="22"/>
      <c r="HD96" s="22"/>
      <c r="HE96" s="22"/>
      <c r="HF96" s="22"/>
      <c r="HG96" s="22"/>
      <c r="HH96" s="22"/>
      <c r="HI96" s="22"/>
      <c r="HJ96" s="22"/>
      <c r="HK96" s="22"/>
      <c r="HL96" s="22"/>
      <c r="HM96" s="22"/>
      <c r="HN96" s="22"/>
      <c r="HO96" s="22"/>
      <c r="HP96" s="22"/>
      <c r="HQ96" s="22"/>
      <c r="HR96" s="22"/>
      <c r="HS96" s="22"/>
      <c r="HT96" s="22"/>
      <c r="HU96" s="22"/>
      <c r="HV96" s="22"/>
      <c r="HW96" s="22"/>
      <c r="HX96" s="22"/>
      <c r="HY96" s="22"/>
      <c r="HZ96" s="22"/>
      <c r="IA96" s="22"/>
      <c r="IB96" s="22"/>
      <c r="IC96" s="22"/>
      <c r="ID96" s="22"/>
      <c r="IE96" s="22"/>
      <c r="IF96" s="22"/>
      <c r="IG96" s="22"/>
      <c r="IH96" s="22"/>
      <c r="II96" s="22"/>
      <c r="IJ96" s="22"/>
      <c r="IK96" s="22"/>
      <c r="IL96" s="22"/>
      <c r="IM96" s="22"/>
      <c r="IN96" s="22"/>
      <c r="IO96" s="22"/>
      <c r="IP96" s="22"/>
      <c r="IQ96" s="22"/>
      <c r="IR96" s="22"/>
      <c r="IS96" s="22"/>
      <c r="IT96" s="22"/>
      <c r="IU96" s="22"/>
      <c r="IV96" s="22"/>
      <c r="IW96" s="22"/>
      <c r="IX96" s="22"/>
      <c r="IY96" s="22"/>
      <c r="IZ96" s="22"/>
      <c r="JA96" s="22"/>
      <c r="JB96" s="22"/>
      <c r="JC96" s="22"/>
      <c r="JD96" s="22"/>
    </row>
    <row r="97" spans="1:264" s="92" customFormat="1" x14ac:dyDescent="0.25">
      <c r="A97" s="20" t="s">
        <v>2652</v>
      </c>
      <c r="B97" s="22"/>
      <c r="C97" s="24" t="s">
        <v>2847</v>
      </c>
      <c r="D97" s="22"/>
      <c r="E97" s="178" t="s">
        <v>3051</v>
      </c>
      <c r="F97" s="22"/>
      <c r="G97" s="20" t="s">
        <v>2821</v>
      </c>
      <c r="H97" s="664">
        <v>814002011984</v>
      </c>
      <c r="I97" s="178"/>
      <c r="J97" s="178"/>
      <c r="K97" s="731"/>
      <c r="L97" s="47" t="s">
        <v>325</v>
      </c>
      <c r="M97" s="7">
        <v>34.99</v>
      </c>
      <c r="N97" s="22"/>
      <c r="O97" s="37">
        <v>10</v>
      </c>
      <c r="P97" s="35">
        <f>0.3/16</f>
        <v>1.8749999999999999E-2</v>
      </c>
      <c r="Q97" s="35">
        <v>19.5</v>
      </c>
      <c r="R97" s="35"/>
      <c r="T97" s="35">
        <v>0.03</v>
      </c>
      <c r="U97" s="35">
        <v>8</v>
      </c>
      <c r="V97" s="35">
        <v>4.8</v>
      </c>
      <c r="W97" s="35">
        <v>0.65</v>
      </c>
      <c r="X97" s="761"/>
      <c r="Y97" s="22"/>
      <c r="Z97" s="22"/>
      <c r="AA97" s="769"/>
      <c r="AB97" s="28"/>
      <c r="AC97" s="22"/>
      <c r="AD97" s="22"/>
      <c r="AE97" s="769"/>
      <c r="AF97" s="28"/>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c r="FZ97" s="22"/>
      <c r="GA97" s="22"/>
      <c r="GB97" s="22"/>
      <c r="GC97" s="22"/>
      <c r="GD97" s="22"/>
      <c r="GE97" s="22"/>
      <c r="GF97" s="22"/>
      <c r="GG97" s="22"/>
      <c r="GH97" s="22"/>
      <c r="GI97" s="22"/>
      <c r="GJ97" s="22"/>
      <c r="GK97" s="22"/>
      <c r="GL97" s="22"/>
      <c r="GM97" s="22"/>
      <c r="GN97" s="22"/>
      <c r="GO97" s="22"/>
      <c r="GP97" s="22"/>
      <c r="GQ97" s="22"/>
      <c r="GR97" s="22"/>
      <c r="GS97" s="22"/>
      <c r="GT97" s="22"/>
      <c r="GU97" s="22"/>
      <c r="GV97" s="22"/>
      <c r="GW97" s="22"/>
      <c r="GX97" s="22"/>
      <c r="GY97" s="22"/>
      <c r="GZ97" s="22"/>
      <c r="HA97" s="22"/>
      <c r="HB97" s="22"/>
      <c r="HC97" s="22"/>
      <c r="HD97" s="22"/>
      <c r="HE97" s="22"/>
      <c r="HF97" s="22"/>
      <c r="HG97" s="22"/>
      <c r="HH97" s="22"/>
      <c r="HI97" s="22"/>
      <c r="HJ97" s="22"/>
      <c r="HK97" s="22"/>
      <c r="HL97" s="22"/>
      <c r="HM97" s="22"/>
      <c r="HN97" s="22"/>
      <c r="HO97" s="22"/>
      <c r="HP97" s="22"/>
      <c r="HQ97" s="22"/>
      <c r="HR97" s="22"/>
      <c r="HS97" s="22"/>
      <c r="HT97" s="22"/>
      <c r="HU97" s="22"/>
      <c r="HV97" s="22"/>
      <c r="HW97" s="22"/>
      <c r="HX97" s="22"/>
      <c r="HY97" s="22"/>
      <c r="HZ97" s="22"/>
      <c r="IA97" s="22"/>
      <c r="IB97" s="22"/>
      <c r="IC97" s="22"/>
      <c r="ID97" s="22"/>
      <c r="IE97" s="22"/>
      <c r="IF97" s="22"/>
      <c r="IG97" s="22"/>
      <c r="IH97" s="22"/>
      <c r="II97" s="22"/>
      <c r="IJ97" s="22"/>
      <c r="IK97" s="22"/>
      <c r="IL97" s="22"/>
      <c r="IM97" s="22"/>
      <c r="IN97" s="22"/>
      <c r="IO97" s="22"/>
      <c r="IP97" s="22"/>
      <c r="IQ97" s="22"/>
      <c r="IR97" s="22"/>
      <c r="IS97" s="22"/>
      <c r="IT97" s="22"/>
      <c r="IU97" s="22"/>
      <c r="IV97" s="22"/>
      <c r="IW97" s="22"/>
      <c r="IX97" s="22"/>
      <c r="IY97" s="22"/>
      <c r="IZ97" s="22"/>
      <c r="JA97" s="22"/>
      <c r="JB97" s="22"/>
      <c r="JC97" s="22"/>
      <c r="JD97" s="22"/>
    </row>
    <row r="98" spans="1:264" s="92" customFormat="1" x14ac:dyDescent="0.25">
      <c r="A98" s="20" t="s">
        <v>2652</v>
      </c>
      <c r="B98" s="22"/>
      <c r="C98" s="24" t="s">
        <v>3052</v>
      </c>
      <c r="D98" s="22"/>
      <c r="E98" s="178" t="s">
        <v>3053</v>
      </c>
      <c r="F98" s="22"/>
      <c r="G98" s="20" t="s">
        <v>1517</v>
      </c>
      <c r="H98" s="664">
        <v>814002011595</v>
      </c>
      <c r="I98" s="178"/>
      <c r="J98" s="178"/>
      <c r="K98" s="731"/>
      <c r="L98" s="47" t="s">
        <v>325</v>
      </c>
      <c r="M98" s="7">
        <v>14.99</v>
      </c>
      <c r="N98" s="22"/>
      <c r="O98" s="37">
        <v>10</v>
      </c>
      <c r="P98" s="35">
        <f>0.8/16</f>
        <v>0.05</v>
      </c>
      <c r="Q98" s="35">
        <v>1.5</v>
      </c>
      <c r="R98" s="35">
        <v>1.4</v>
      </c>
      <c r="S98" s="92">
        <v>0.44</v>
      </c>
      <c r="T98" s="35">
        <v>0.15</v>
      </c>
      <c r="U98" s="35">
        <v>1.81</v>
      </c>
      <c r="V98" s="35">
        <v>1.73</v>
      </c>
      <c r="W98" s="35">
        <v>0.79</v>
      </c>
      <c r="X98" s="761"/>
      <c r="Y98" s="22"/>
      <c r="Z98" s="22"/>
      <c r="AA98" s="769"/>
      <c r="AB98" s="28"/>
      <c r="AC98" s="22"/>
      <c r="AD98" s="22"/>
      <c r="AE98" s="769"/>
      <c r="AF98" s="28"/>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22"/>
      <c r="GC98" s="22"/>
      <c r="GD98" s="22"/>
      <c r="GE98" s="22"/>
      <c r="GF98" s="22"/>
      <c r="GG98" s="22"/>
      <c r="GH98" s="22"/>
      <c r="GI98" s="22"/>
      <c r="GJ98" s="22"/>
      <c r="GK98" s="22"/>
      <c r="GL98" s="22"/>
      <c r="GM98" s="22"/>
      <c r="GN98" s="22"/>
      <c r="GO98" s="22"/>
      <c r="GP98" s="22"/>
      <c r="GQ98" s="22"/>
      <c r="GR98" s="22"/>
      <c r="GS98" s="22"/>
      <c r="GT98" s="22"/>
      <c r="GU98" s="22"/>
      <c r="GV98" s="22"/>
      <c r="GW98" s="22"/>
      <c r="GX98" s="22"/>
      <c r="GY98" s="22"/>
      <c r="GZ98" s="22"/>
      <c r="HA98" s="22"/>
      <c r="HB98" s="22"/>
      <c r="HC98" s="22"/>
      <c r="HD98" s="22"/>
      <c r="HE98" s="22"/>
      <c r="HF98" s="22"/>
      <c r="HG98" s="22"/>
      <c r="HH98" s="22"/>
      <c r="HI98" s="22"/>
      <c r="HJ98" s="22"/>
      <c r="HK98" s="22"/>
      <c r="HL98" s="22"/>
      <c r="HM98" s="22"/>
      <c r="HN98" s="22"/>
      <c r="HO98" s="22"/>
      <c r="HP98" s="22"/>
      <c r="HQ98" s="22"/>
      <c r="HR98" s="22"/>
      <c r="HS98" s="22"/>
      <c r="HT98" s="22"/>
      <c r="HU98" s="22"/>
      <c r="HV98" s="22"/>
      <c r="HW98" s="22"/>
      <c r="HX98" s="22"/>
      <c r="HY98" s="22"/>
      <c r="HZ98" s="22"/>
      <c r="IA98" s="22"/>
      <c r="IB98" s="22"/>
      <c r="IC98" s="22"/>
      <c r="ID98" s="22"/>
      <c r="IE98" s="22"/>
      <c r="IF98" s="22"/>
      <c r="IG98" s="22"/>
      <c r="IH98" s="22"/>
      <c r="II98" s="22"/>
      <c r="IJ98" s="22"/>
      <c r="IK98" s="22"/>
      <c r="IL98" s="22"/>
      <c r="IM98" s="22"/>
      <c r="IN98" s="22"/>
      <c r="IO98" s="22"/>
      <c r="IP98" s="22"/>
      <c r="IQ98" s="22"/>
      <c r="IR98" s="22"/>
      <c r="IS98" s="22"/>
      <c r="IT98" s="22"/>
      <c r="IU98" s="22"/>
      <c r="IV98" s="22"/>
      <c r="IW98" s="22"/>
      <c r="IX98" s="22"/>
      <c r="IY98" s="22"/>
      <c r="IZ98" s="22"/>
      <c r="JA98" s="22"/>
      <c r="JB98" s="22"/>
      <c r="JC98" s="22"/>
      <c r="JD98" s="22"/>
    </row>
    <row r="99" spans="1:264" s="92" customFormat="1" x14ac:dyDescent="0.25">
      <c r="A99" s="20" t="s">
        <v>2652</v>
      </c>
      <c r="B99" s="22"/>
      <c r="C99" s="24" t="s">
        <v>3054</v>
      </c>
      <c r="D99" s="22"/>
      <c r="E99" s="178" t="s">
        <v>3055</v>
      </c>
      <c r="F99" s="22"/>
      <c r="G99" s="20" t="s">
        <v>2967</v>
      </c>
      <c r="H99" s="664">
        <v>814002010956</v>
      </c>
      <c r="I99" s="178"/>
      <c r="J99" s="178"/>
      <c r="K99" s="731"/>
      <c r="L99" s="47" t="s">
        <v>325</v>
      </c>
      <c r="M99" s="7">
        <v>49.99</v>
      </c>
      <c r="N99" s="22"/>
      <c r="O99" s="37">
        <v>10</v>
      </c>
      <c r="P99" s="35">
        <f>0.8/16</f>
        <v>0.05</v>
      </c>
      <c r="Q99" s="35">
        <v>2.25</v>
      </c>
      <c r="R99" s="35">
        <v>2.25</v>
      </c>
      <c r="S99" s="92">
        <v>0.39</v>
      </c>
      <c r="T99" s="35">
        <v>0.3</v>
      </c>
      <c r="U99" s="35">
        <v>2</v>
      </c>
      <c r="V99" s="35">
        <v>2</v>
      </c>
      <c r="W99" s="35">
        <v>0.4</v>
      </c>
      <c r="X99" s="761"/>
      <c r="Y99" s="22"/>
      <c r="Z99" s="22"/>
      <c r="AA99" s="769"/>
      <c r="AB99" s="28"/>
      <c r="AC99" s="22"/>
      <c r="AD99" s="22"/>
      <c r="AE99" s="769"/>
      <c r="AF99" s="28"/>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c r="HM99" s="22"/>
      <c r="HN99" s="22"/>
      <c r="HO99" s="22"/>
      <c r="HP99" s="22"/>
      <c r="HQ99" s="22"/>
      <c r="HR99" s="22"/>
      <c r="HS99" s="22"/>
      <c r="HT99" s="22"/>
      <c r="HU99" s="22"/>
      <c r="HV99" s="22"/>
      <c r="HW99" s="22"/>
      <c r="HX99" s="22"/>
      <c r="HY99" s="22"/>
      <c r="HZ99" s="22"/>
      <c r="IA99" s="22"/>
      <c r="IB99" s="22"/>
      <c r="IC99" s="22"/>
      <c r="ID99" s="22"/>
      <c r="IE99" s="22"/>
      <c r="IF99" s="22"/>
      <c r="IG99" s="22"/>
      <c r="IH99" s="22"/>
      <c r="II99" s="22"/>
      <c r="IJ99" s="22"/>
      <c r="IK99" s="22"/>
      <c r="IL99" s="22"/>
      <c r="IM99" s="22"/>
      <c r="IN99" s="22"/>
      <c r="IO99" s="22"/>
      <c r="IP99" s="22"/>
      <c r="IQ99" s="22"/>
      <c r="IR99" s="22"/>
      <c r="IS99" s="22"/>
      <c r="IT99" s="22"/>
      <c r="IU99" s="22"/>
      <c r="IV99" s="22"/>
      <c r="IW99" s="22"/>
      <c r="IX99" s="22"/>
      <c r="IY99" s="22"/>
      <c r="IZ99" s="22"/>
      <c r="JA99" s="22"/>
      <c r="JB99" s="22"/>
      <c r="JC99" s="22"/>
      <c r="JD99" s="22"/>
    </row>
    <row r="100" spans="1:264" s="92" customFormat="1" x14ac:dyDescent="0.25">
      <c r="A100" s="20" t="s">
        <v>2652</v>
      </c>
      <c r="B100" s="22"/>
      <c r="C100" s="24" t="s">
        <v>3056</v>
      </c>
      <c r="D100" s="22"/>
      <c r="E100" s="178" t="s">
        <v>3057</v>
      </c>
      <c r="F100" s="22"/>
      <c r="G100" s="20" t="s">
        <v>2967</v>
      </c>
      <c r="H100" s="664">
        <v>814002011199</v>
      </c>
      <c r="I100" s="178"/>
      <c r="J100" s="178"/>
      <c r="K100" s="731"/>
      <c r="L100" s="47" t="s">
        <v>325</v>
      </c>
      <c r="M100" s="7">
        <v>16.989999999999998</v>
      </c>
      <c r="N100" s="22"/>
      <c r="O100" s="37">
        <v>10</v>
      </c>
      <c r="P100" s="35">
        <f>0.64/16</f>
        <v>0.04</v>
      </c>
      <c r="Q100" s="35">
        <v>2.25</v>
      </c>
      <c r="R100" s="35">
        <v>2.25</v>
      </c>
      <c r="S100" s="92">
        <v>0.39</v>
      </c>
      <c r="T100" s="35">
        <v>0.06</v>
      </c>
      <c r="U100" s="35">
        <v>5.9</v>
      </c>
      <c r="V100" s="35">
        <v>3.5</v>
      </c>
      <c r="W100" s="35">
        <v>0.39</v>
      </c>
      <c r="X100" s="761"/>
      <c r="Y100" s="22"/>
      <c r="Z100" s="22"/>
      <c r="AA100" s="769"/>
      <c r="AB100" s="28"/>
      <c r="AC100" s="22"/>
      <c r="AD100" s="22"/>
      <c r="AE100" s="769"/>
      <c r="AF100" s="28"/>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c r="FR100" s="22"/>
      <c r="FS100" s="22"/>
      <c r="FT100" s="22"/>
      <c r="FU100" s="22"/>
      <c r="FV100" s="22"/>
      <c r="FW100" s="22"/>
      <c r="FX100" s="22"/>
      <c r="FY100" s="22"/>
      <c r="FZ100" s="22"/>
      <c r="GA100" s="22"/>
      <c r="GB100" s="22"/>
      <c r="GC100" s="22"/>
      <c r="GD100" s="22"/>
      <c r="GE100" s="22"/>
      <c r="GF100" s="22"/>
      <c r="GG100" s="22"/>
      <c r="GH100" s="22"/>
      <c r="GI100" s="22"/>
      <c r="GJ100" s="22"/>
      <c r="GK100" s="22"/>
      <c r="GL100" s="22"/>
      <c r="GM100" s="22"/>
      <c r="GN100" s="22"/>
      <c r="GO100" s="22"/>
      <c r="GP100" s="22"/>
      <c r="GQ100" s="22"/>
      <c r="GR100" s="22"/>
      <c r="GS100" s="22"/>
      <c r="GT100" s="22"/>
      <c r="GU100" s="22"/>
      <c r="GV100" s="22"/>
      <c r="GW100" s="22"/>
      <c r="GX100" s="22"/>
      <c r="GY100" s="22"/>
      <c r="GZ100" s="22"/>
      <c r="HA100" s="22"/>
      <c r="HB100" s="22"/>
      <c r="HC100" s="22"/>
      <c r="HD100" s="22"/>
      <c r="HE100" s="22"/>
      <c r="HF100" s="22"/>
      <c r="HG100" s="22"/>
      <c r="HH100" s="22"/>
      <c r="HI100" s="22"/>
      <c r="HJ100" s="22"/>
      <c r="HK100" s="22"/>
      <c r="HL100" s="22"/>
      <c r="HM100" s="22"/>
      <c r="HN100" s="22"/>
      <c r="HO100" s="22"/>
      <c r="HP100" s="22"/>
      <c r="HQ100" s="22"/>
      <c r="HR100" s="22"/>
      <c r="HS100" s="22"/>
      <c r="HT100" s="22"/>
      <c r="HU100" s="22"/>
      <c r="HV100" s="22"/>
      <c r="HW100" s="22"/>
      <c r="HX100" s="22"/>
      <c r="HY100" s="22"/>
      <c r="HZ100" s="22"/>
      <c r="IA100" s="22"/>
      <c r="IB100" s="22"/>
      <c r="IC100" s="22"/>
      <c r="ID100" s="22"/>
      <c r="IE100" s="22"/>
      <c r="IF100" s="22"/>
      <c r="IG100" s="22"/>
      <c r="IH100" s="22"/>
      <c r="II100" s="22"/>
      <c r="IJ100" s="22"/>
      <c r="IK100" s="22"/>
      <c r="IL100" s="22"/>
      <c r="IM100" s="22"/>
      <c r="IN100" s="22"/>
      <c r="IO100" s="22"/>
      <c r="IP100" s="22"/>
      <c r="IQ100" s="22"/>
      <c r="IR100" s="22"/>
      <c r="IS100" s="22"/>
      <c r="IT100" s="22"/>
      <c r="IU100" s="22"/>
      <c r="IV100" s="22"/>
      <c r="IW100" s="22"/>
      <c r="IX100" s="22"/>
      <c r="IY100" s="22"/>
      <c r="IZ100" s="22"/>
      <c r="JA100" s="22"/>
      <c r="JB100" s="22"/>
      <c r="JC100" s="22"/>
      <c r="JD100" s="22"/>
    </row>
    <row r="101" spans="1:264" s="92" customFormat="1" x14ac:dyDescent="0.25">
      <c r="A101" s="20" t="s">
        <v>2652</v>
      </c>
      <c r="B101" s="22"/>
      <c r="C101" s="24" t="s">
        <v>3058</v>
      </c>
      <c r="D101" s="22"/>
      <c r="E101" s="178" t="s">
        <v>3059</v>
      </c>
      <c r="F101" s="22"/>
      <c r="G101" s="20" t="s">
        <v>1517</v>
      </c>
      <c r="H101" s="673">
        <v>814002011342</v>
      </c>
      <c r="I101" s="178"/>
      <c r="J101" s="178"/>
      <c r="K101" s="731"/>
      <c r="L101" s="47" t="s">
        <v>325</v>
      </c>
      <c r="M101" s="7">
        <v>59.99</v>
      </c>
      <c r="N101" s="22"/>
      <c r="O101" s="37">
        <v>10</v>
      </c>
      <c r="P101" s="35">
        <f>2.5/16</f>
        <v>0.15625</v>
      </c>
      <c r="Q101" s="35">
        <v>0.75</v>
      </c>
      <c r="R101" s="35">
        <v>0.75</v>
      </c>
      <c r="S101" s="92">
        <v>2.7</v>
      </c>
      <c r="T101" s="35">
        <v>0.15</v>
      </c>
      <c r="U101" s="35">
        <v>3.2</v>
      </c>
      <c r="V101" s="35">
        <v>3.2</v>
      </c>
      <c r="W101" s="35">
        <v>1</v>
      </c>
      <c r="X101" s="761"/>
      <c r="Y101" s="22"/>
      <c r="Z101" s="22"/>
      <c r="AA101" s="769"/>
      <c r="AB101" s="28"/>
      <c r="AC101" s="22"/>
      <c r="AD101" s="22"/>
      <c r="AE101" s="769"/>
      <c r="AF101" s="28"/>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c r="FR101" s="22"/>
      <c r="FS101" s="22"/>
      <c r="FT101" s="22"/>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2"/>
      <c r="GR101" s="22"/>
      <c r="GS101" s="22"/>
      <c r="GT101" s="22"/>
      <c r="GU101" s="22"/>
      <c r="GV101" s="22"/>
      <c r="GW101" s="22"/>
      <c r="GX101" s="22"/>
      <c r="GY101" s="22"/>
      <c r="GZ101" s="22"/>
      <c r="HA101" s="22"/>
      <c r="HB101" s="22"/>
      <c r="HC101" s="22"/>
      <c r="HD101" s="22"/>
      <c r="HE101" s="22"/>
      <c r="HF101" s="22"/>
      <c r="HG101" s="22"/>
      <c r="HH101" s="22"/>
      <c r="HI101" s="22"/>
      <c r="HJ101" s="22"/>
      <c r="HK101" s="22"/>
      <c r="HL101" s="22"/>
      <c r="HM101" s="22"/>
      <c r="HN101" s="22"/>
      <c r="HO101" s="22"/>
      <c r="HP101" s="22"/>
      <c r="HQ101" s="22"/>
      <c r="HR101" s="22"/>
      <c r="HS101" s="22"/>
      <c r="HT101" s="22"/>
      <c r="HU101" s="22"/>
      <c r="HV101" s="22"/>
      <c r="HW101" s="22"/>
      <c r="HX101" s="22"/>
      <c r="HY101" s="22"/>
      <c r="HZ101" s="22"/>
      <c r="IA101" s="22"/>
      <c r="IB101" s="22"/>
      <c r="IC101" s="22"/>
      <c r="ID101" s="22"/>
      <c r="IE101" s="22"/>
      <c r="IF101" s="22"/>
      <c r="IG101" s="22"/>
      <c r="IH101" s="22"/>
      <c r="II101" s="22"/>
      <c r="IJ101" s="22"/>
      <c r="IK101" s="22"/>
      <c r="IL101" s="22"/>
      <c r="IM101" s="22"/>
      <c r="IN101" s="22"/>
      <c r="IO101" s="22"/>
      <c r="IP101" s="22"/>
      <c r="IQ101" s="22"/>
      <c r="IR101" s="22"/>
      <c r="IS101" s="22"/>
      <c r="IT101" s="22"/>
      <c r="IU101" s="22"/>
      <c r="IV101" s="22"/>
      <c r="IW101" s="22"/>
      <c r="IX101" s="22"/>
      <c r="IY101" s="22"/>
      <c r="IZ101" s="22"/>
      <c r="JA101" s="22"/>
      <c r="JB101" s="22"/>
      <c r="JC101" s="22"/>
      <c r="JD101" s="22"/>
    </row>
    <row r="102" spans="1:264" s="92" customFormat="1" x14ac:dyDescent="0.25">
      <c r="A102" s="20" t="s">
        <v>2652</v>
      </c>
      <c r="B102" s="22"/>
      <c r="C102" s="24" t="s">
        <v>3060</v>
      </c>
      <c r="D102" s="22"/>
      <c r="E102" s="178" t="s">
        <v>3061</v>
      </c>
      <c r="F102" s="22"/>
      <c r="G102" s="20" t="s">
        <v>2967</v>
      </c>
      <c r="H102" s="673">
        <v>814002011465</v>
      </c>
      <c r="I102" s="178"/>
      <c r="J102" s="178"/>
      <c r="K102" s="731"/>
      <c r="L102" s="47" t="s">
        <v>325</v>
      </c>
      <c r="M102" s="7">
        <v>64.989999999999995</v>
      </c>
      <c r="N102" s="22"/>
      <c r="O102" s="37">
        <v>10</v>
      </c>
      <c r="P102" s="35">
        <f>1/16</f>
        <v>6.25E-2</v>
      </c>
      <c r="Q102" s="35">
        <v>2.7</v>
      </c>
      <c r="R102" s="35">
        <v>2.7</v>
      </c>
      <c r="S102" s="92">
        <v>0.39</v>
      </c>
      <c r="T102" s="35">
        <v>0.1</v>
      </c>
      <c r="U102" s="35">
        <v>3.4</v>
      </c>
      <c r="V102" s="35">
        <v>3.3</v>
      </c>
      <c r="W102" s="35">
        <v>0.4</v>
      </c>
      <c r="X102" s="761"/>
      <c r="Y102" s="22"/>
      <c r="Z102" s="22"/>
      <c r="AA102" s="769"/>
      <c r="AB102" s="28"/>
      <c r="AC102" s="22"/>
      <c r="AD102" s="22"/>
      <c r="AE102" s="769"/>
      <c r="AF102" s="28"/>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c r="FO102" s="22"/>
      <c r="FP102" s="22"/>
      <c r="FQ102" s="22"/>
      <c r="FR102" s="22"/>
      <c r="FS102" s="22"/>
      <c r="FT102" s="22"/>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2"/>
      <c r="GR102" s="22"/>
      <c r="GS102" s="22"/>
      <c r="GT102" s="22"/>
      <c r="GU102" s="22"/>
      <c r="GV102" s="22"/>
      <c r="GW102" s="22"/>
      <c r="GX102" s="22"/>
      <c r="GY102" s="22"/>
      <c r="GZ102" s="22"/>
      <c r="HA102" s="22"/>
      <c r="HB102" s="22"/>
      <c r="HC102" s="22"/>
      <c r="HD102" s="22"/>
      <c r="HE102" s="22"/>
      <c r="HF102" s="22"/>
      <c r="HG102" s="22"/>
      <c r="HH102" s="22"/>
      <c r="HI102" s="22"/>
      <c r="HJ102" s="22"/>
      <c r="HK102" s="22"/>
      <c r="HL102" s="22"/>
      <c r="HM102" s="22"/>
      <c r="HN102" s="22"/>
      <c r="HO102" s="22"/>
      <c r="HP102" s="22"/>
      <c r="HQ102" s="22"/>
      <c r="HR102" s="22"/>
      <c r="HS102" s="22"/>
      <c r="HT102" s="22"/>
      <c r="HU102" s="22"/>
      <c r="HV102" s="22"/>
      <c r="HW102" s="22"/>
      <c r="HX102" s="22"/>
      <c r="HY102" s="22"/>
      <c r="HZ102" s="22"/>
      <c r="IA102" s="22"/>
      <c r="IB102" s="22"/>
      <c r="IC102" s="22"/>
      <c r="ID102" s="22"/>
      <c r="IE102" s="22"/>
      <c r="IF102" s="22"/>
      <c r="IG102" s="22"/>
      <c r="IH102" s="22"/>
      <c r="II102" s="22"/>
      <c r="IJ102" s="22"/>
      <c r="IK102" s="22"/>
      <c r="IL102" s="22"/>
      <c r="IM102" s="22"/>
      <c r="IN102" s="22"/>
      <c r="IO102" s="22"/>
      <c r="IP102" s="22"/>
      <c r="IQ102" s="22"/>
      <c r="IR102" s="22"/>
      <c r="IS102" s="22"/>
      <c r="IT102" s="22"/>
      <c r="IU102" s="22"/>
      <c r="IV102" s="22"/>
      <c r="IW102" s="22"/>
      <c r="IX102" s="22"/>
      <c r="IY102" s="22"/>
      <c r="IZ102" s="22"/>
      <c r="JA102" s="22"/>
      <c r="JB102" s="22"/>
      <c r="JC102" s="22"/>
      <c r="JD102" s="22"/>
    </row>
    <row r="103" spans="1:264" s="92" customFormat="1" x14ac:dyDescent="0.25">
      <c r="A103" s="20" t="s">
        <v>2652</v>
      </c>
      <c r="B103" s="22"/>
      <c r="C103" s="24" t="s">
        <v>3062</v>
      </c>
      <c r="D103" s="22"/>
      <c r="E103" s="178" t="s">
        <v>3063</v>
      </c>
      <c r="F103" s="22"/>
      <c r="G103" s="20" t="s">
        <v>2967</v>
      </c>
      <c r="H103" s="673">
        <v>814002011403</v>
      </c>
      <c r="I103" s="178"/>
      <c r="J103" s="178"/>
      <c r="K103" s="731"/>
      <c r="L103" s="47" t="s">
        <v>325</v>
      </c>
      <c r="M103" s="7">
        <v>49.99</v>
      </c>
      <c r="N103" s="22"/>
      <c r="O103" s="37">
        <v>10</v>
      </c>
      <c r="P103" s="35">
        <v>0.01</v>
      </c>
      <c r="Q103" s="35">
        <v>2.2400000000000002</v>
      </c>
      <c r="R103" s="35">
        <v>2.2400000000000002</v>
      </c>
      <c r="S103" s="92">
        <v>0.39</v>
      </c>
      <c r="T103" s="28">
        <v>0.06</v>
      </c>
      <c r="U103" s="35">
        <v>6</v>
      </c>
      <c r="V103" s="35">
        <v>3.7</v>
      </c>
      <c r="W103" s="35">
        <v>0.3</v>
      </c>
      <c r="X103" s="761"/>
      <c r="Y103" s="22"/>
      <c r="Z103" s="22"/>
      <c r="AA103" s="769"/>
      <c r="AB103" s="28"/>
      <c r="AC103" s="22"/>
      <c r="AD103" s="22"/>
      <c r="AE103" s="769"/>
      <c r="AF103" s="28"/>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c r="FO103" s="22"/>
      <c r="FP103" s="22"/>
      <c r="FQ103" s="22"/>
      <c r="FR103" s="22"/>
      <c r="FS103" s="22"/>
      <c r="FT103" s="22"/>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2"/>
      <c r="GR103" s="22"/>
      <c r="GS103" s="22"/>
      <c r="GT103" s="22"/>
      <c r="GU103" s="22"/>
      <c r="GV103" s="22"/>
      <c r="GW103" s="22"/>
      <c r="GX103" s="22"/>
      <c r="GY103" s="22"/>
      <c r="GZ103" s="22"/>
      <c r="HA103" s="22"/>
      <c r="HB103" s="22"/>
      <c r="HC103" s="22"/>
      <c r="HD103" s="22"/>
      <c r="HE103" s="22"/>
      <c r="HF103" s="22"/>
      <c r="HG103" s="22"/>
      <c r="HH103" s="22"/>
      <c r="HI103" s="22"/>
      <c r="HJ103" s="22"/>
      <c r="HK103" s="22"/>
      <c r="HL103" s="22"/>
      <c r="HM103" s="22"/>
      <c r="HN103" s="22"/>
      <c r="HO103" s="22"/>
      <c r="HP103" s="22"/>
      <c r="HQ103" s="22"/>
      <c r="HR103" s="22"/>
      <c r="HS103" s="22"/>
      <c r="HT103" s="22"/>
      <c r="HU103" s="22"/>
      <c r="HV103" s="22"/>
      <c r="HW103" s="22"/>
      <c r="HX103" s="22"/>
      <c r="HY103" s="22"/>
      <c r="HZ103" s="22"/>
      <c r="IA103" s="22"/>
      <c r="IB103" s="22"/>
      <c r="IC103" s="22"/>
      <c r="ID103" s="22"/>
      <c r="IE103" s="22"/>
      <c r="IF103" s="22"/>
      <c r="IG103" s="22"/>
      <c r="IH103" s="22"/>
      <c r="II103" s="22"/>
      <c r="IJ103" s="22"/>
      <c r="IK103" s="22"/>
      <c r="IL103" s="22"/>
      <c r="IM103" s="22"/>
      <c r="IN103" s="22"/>
      <c r="IO103" s="22"/>
      <c r="IP103" s="22"/>
      <c r="IQ103" s="22"/>
      <c r="IR103" s="22"/>
      <c r="IS103" s="22"/>
      <c r="IT103" s="22"/>
      <c r="IU103" s="22"/>
      <c r="IV103" s="22"/>
      <c r="IW103" s="22"/>
      <c r="IX103" s="22"/>
      <c r="IY103" s="22"/>
      <c r="IZ103" s="22"/>
      <c r="JA103" s="22"/>
      <c r="JB103" s="22"/>
      <c r="JC103" s="22"/>
      <c r="JD103" s="22"/>
    </row>
    <row r="104" spans="1:264" s="92" customFormat="1" x14ac:dyDescent="0.25">
      <c r="A104" s="20" t="s">
        <v>2652</v>
      </c>
      <c r="B104" s="22"/>
      <c r="C104" s="24" t="s">
        <v>3064</v>
      </c>
      <c r="D104" s="22"/>
      <c r="E104" s="178" t="s">
        <v>3065</v>
      </c>
      <c r="F104" s="22"/>
      <c r="G104" s="20" t="s">
        <v>2967</v>
      </c>
      <c r="H104" s="673">
        <v>814002011205</v>
      </c>
      <c r="I104" s="178"/>
      <c r="J104" s="178"/>
      <c r="K104" s="731"/>
      <c r="L104" s="47" t="s">
        <v>325</v>
      </c>
      <c r="M104" s="7">
        <v>24.99</v>
      </c>
      <c r="N104" s="22"/>
      <c r="O104" s="37">
        <v>10</v>
      </c>
      <c r="P104" s="35">
        <v>0.01</v>
      </c>
      <c r="Q104" s="35">
        <v>2.25</v>
      </c>
      <c r="R104" s="35">
        <v>2.25</v>
      </c>
      <c r="S104" s="92">
        <v>0.39</v>
      </c>
      <c r="T104" s="35">
        <v>0.06</v>
      </c>
      <c r="U104" s="35">
        <v>6</v>
      </c>
      <c r="V104" s="35">
        <v>3.5</v>
      </c>
      <c r="W104" s="35">
        <v>0.1</v>
      </c>
      <c r="X104" s="761"/>
      <c r="Y104" s="22"/>
      <c r="Z104" s="22"/>
      <c r="AA104" s="769"/>
      <c r="AB104" s="28"/>
      <c r="AC104" s="22"/>
      <c r="AD104" s="22"/>
      <c r="AE104" s="769"/>
      <c r="AF104" s="28"/>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c r="FO104" s="22"/>
      <c r="FP104" s="22"/>
      <c r="FQ104" s="22"/>
      <c r="FR104" s="22"/>
      <c r="FS104" s="22"/>
      <c r="FT104" s="22"/>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2"/>
      <c r="GR104" s="22"/>
      <c r="GS104" s="22"/>
      <c r="GT104" s="22"/>
      <c r="GU104" s="22"/>
      <c r="GV104" s="22"/>
      <c r="GW104" s="22"/>
      <c r="GX104" s="22"/>
      <c r="GY104" s="22"/>
      <c r="GZ104" s="22"/>
      <c r="HA104" s="22"/>
      <c r="HB104" s="22"/>
      <c r="HC104" s="22"/>
      <c r="HD104" s="22"/>
      <c r="HE104" s="22"/>
      <c r="HF104" s="22"/>
      <c r="HG104" s="22"/>
      <c r="HH104" s="22"/>
      <c r="HI104" s="22"/>
      <c r="HJ104" s="22"/>
      <c r="HK104" s="22"/>
      <c r="HL104" s="22"/>
      <c r="HM104" s="22"/>
      <c r="HN104" s="22"/>
      <c r="HO104" s="22"/>
      <c r="HP104" s="22"/>
      <c r="HQ104" s="22"/>
      <c r="HR104" s="22"/>
      <c r="HS104" s="22"/>
      <c r="HT104" s="22"/>
      <c r="HU104" s="22"/>
      <c r="HV104" s="22"/>
      <c r="HW104" s="22"/>
      <c r="HX104" s="22"/>
      <c r="HY104" s="22"/>
      <c r="HZ104" s="22"/>
      <c r="IA104" s="22"/>
      <c r="IB104" s="22"/>
      <c r="IC104" s="22"/>
      <c r="ID104" s="22"/>
      <c r="IE104" s="22"/>
      <c r="IF104" s="22"/>
      <c r="IG104" s="22"/>
      <c r="IH104" s="22"/>
      <c r="II104" s="22"/>
      <c r="IJ104" s="22"/>
      <c r="IK104" s="22"/>
      <c r="IL104" s="22"/>
      <c r="IM104" s="22"/>
      <c r="IN104" s="22"/>
      <c r="IO104" s="22"/>
      <c r="IP104" s="22"/>
      <c r="IQ104" s="22"/>
      <c r="IR104" s="22"/>
      <c r="IS104" s="22"/>
      <c r="IT104" s="22"/>
      <c r="IU104" s="22"/>
      <c r="IV104" s="22"/>
      <c r="IW104" s="22"/>
      <c r="IX104" s="22"/>
      <c r="IY104" s="22"/>
      <c r="IZ104" s="22"/>
      <c r="JA104" s="22"/>
      <c r="JB104" s="22"/>
      <c r="JC104" s="22"/>
      <c r="JD104" s="22"/>
    </row>
    <row r="105" spans="1:264" s="92" customFormat="1" x14ac:dyDescent="0.25">
      <c r="A105" s="20" t="s">
        <v>2652</v>
      </c>
      <c r="B105" s="22"/>
      <c r="C105" s="24" t="s">
        <v>3066</v>
      </c>
      <c r="D105" s="22"/>
      <c r="E105" s="178" t="s">
        <v>3067</v>
      </c>
      <c r="F105" s="22"/>
      <c r="G105" s="20" t="s">
        <v>2967</v>
      </c>
      <c r="H105" s="673">
        <v>814002011083</v>
      </c>
      <c r="I105" s="178"/>
      <c r="J105" s="178"/>
      <c r="K105" s="731"/>
      <c r="L105" s="47" t="s">
        <v>325</v>
      </c>
      <c r="M105" s="726">
        <v>44.99</v>
      </c>
      <c r="N105" s="22"/>
      <c r="O105" s="37">
        <v>10</v>
      </c>
      <c r="P105" s="35">
        <v>0.01</v>
      </c>
      <c r="Q105" s="35">
        <v>2.25</v>
      </c>
      <c r="R105" s="35">
        <v>2.25</v>
      </c>
      <c r="S105" s="92">
        <v>0.39</v>
      </c>
      <c r="T105" s="35">
        <v>7.0000000000000007E-2</v>
      </c>
      <c r="U105" s="35">
        <v>5.4</v>
      </c>
      <c r="V105" s="35">
        <v>3</v>
      </c>
      <c r="W105" s="35">
        <v>0.4</v>
      </c>
      <c r="X105" s="761"/>
      <c r="Y105" s="22"/>
      <c r="Z105" s="22"/>
      <c r="AA105" s="769"/>
      <c r="AB105" s="28"/>
      <c r="AC105" s="22"/>
      <c r="AD105" s="22"/>
      <c r="AE105" s="769"/>
      <c r="AF105" s="28"/>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c r="FO105" s="22"/>
      <c r="FP105" s="22"/>
      <c r="FQ105" s="22"/>
      <c r="FR105" s="22"/>
      <c r="FS105" s="22"/>
      <c r="FT105" s="22"/>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2"/>
      <c r="GR105" s="22"/>
      <c r="GS105" s="22"/>
      <c r="GT105" s="22"/>
      <c r="GU105" s="22"/>
      <c r="GV105" s="22"/>
      <c r="GW105" s="22"/>
      <c r="GX105" s="22"/>
      <c r="GY105" s="22"/>
      <c r="GZ105" s="22"/>
      <c r="HA105" s="22"/>
      <c r="HB105" s="22"/>
      <c r="HC105" s="22"/>
      <c r="HD105" s="22"/>
      <c r="HE105" s="22"/>
      <c r="HF105" s="22"/>
      <c r="HG105" s="22"/>
      <c r="HH105" s="22"/>
      <c r="HI105" s="22"/>
      <c r="HJ105" s="22"/>
      <c r="HK105" s="22"/>
      <c r="HL105" s="22"/>
      <c r="HM105" s="22"/>
      <c r="HN105" s="22"/>
      <c r="HO105" s="22"/>
      <c r="HP105" s="22"/>
      <c r="HQ105" s="22"/>
      <c r="HR105" s="22"/>
      <c r="HS105" s="22"/>
      <c r="HT105" s="22"/>
      <c r="HU105" s="22"/>
      <c r="HV105" s="22"/>
      <c r="HW105" s="22"/>
      <c r="HX105" s="22"/>
      <c r="HY105" s="22"/>
      <c r="HZ105" s="22"/>
      <c r="IA105" s="22"/>
      <c r="IB105" s="22"/>
      <c r="IC105" s="22"/>
      <c r="ID105" s="22"/>
      <c r="IE105" s="22"/>
      <c r="IF105" s="22"/>
      <c r="IG105" s="22"/>
      <c r="IH105" s="22"/>
      <c r="II105" s="22"/>
      <c r="IJ105" s="22"/>
      <c r="IK105" s="22"/>
      <c r="IL105" s="22"/>
      <c r="IM105" s="22"/>
      <c r="IN105" s="22"/>
      <c r="IO105" s="22"/>
      <c r="IP105" s="22"/>
      <c r="IQ105" s="22"/>
      <c r="IR105" s="22"/>
      <c r="IS105" s="22"/>
      <c r="IT105" s="22"/>
      <c r="IU105" s="22"/>
      <c r="IV105" s="22"/>
      <c r="IW105" s="22"/>
      <c r="IX105" s="22"/>
      <c r="IY105" s="22"/>
      <c r="IZ105" s="22"/>
      <c r="JA105" s="22"/>
      <c r="JB105" s="22"/>
      <c r="JC105" s="22"/>
      <c r="JD105" s="22"/>
    </row>
    <row r="106" spans="1:264" s="92" customFormat="1" ht="15.6" x14ac:dyDescent="0.3">
      <c r="A106" s="108" t="s">
        <v>3068</v>
      </c>
      <c r="B106" s="22"/>
      <c r="C106" s="22"/>
      <c r="D106" s="22"/>
      <c r="E106" s="22"/>
      <c r="F106" s="22"/>
      <c r="G106" s="22"/>
      <c r="H106" s="22"/>
      <c r="I106" s="22"/>
      <c r="J106" s="22"/>
      <c r="K106" s="12"/>
      <c r="L106" s="47"/>
      <c r="M106" s="22"/>
      <c r="N106" s="22"/>
      <c r="O106" s="28"/>
      <c r="P106" s="35"/>
      <c r="Q106" s="35"/>
      <c r="R106" s="35"/>
      <c r="T106" s="28"/>
      <c r="U106" s="22"/>
      <c r="V106" s="22"/>
      <c r="W106" s="28"/>
      <c r="X106" s="761"/>
      <c r="Y106" s="22"/>
      <c r="Z106" s="22"/>
      <c r="AA106" s="769"/>
      <c r="AB106" s="28"/>
      <c r="AC106" s="22"/>
      <c r="AD106" s="22"/>
      <c r="AE106" s="769"/>
      <c r="AF106" s="28"/>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2"/>
      <c r="GR106" s="22"/>
      <c r="GS106" s="22"/>
      <c r="GT106" s="22"/>
      <c r="GU106" s="22"/>
      <c r="GV106" s="22"/>
      <c r="GW106" s="22"/>
      <c r="GX106" s="22"/>
      <c r="GY106" s="22"/>
      <c r="GZ106" s="22"/>
      <c r="HA106" s="22"/>
      <c r="HB106" s="22"/>
      <c r="HC106" s="22"/>
      <c r="HD106" s="22"/>
      <c r="HE106" s="22"/>
      <c r="HF106" s="22"/>
      <c r="HG106" s="22"/>
      <c r="HH106" s="22"/>
      <c r="HI106" s="22"/>
      <c r="HJ106" s="22"/>
      <c r="HK106" s="22"/>
      <c r="HL106" s="22"/>
      <c r="HM106" s="22"/>
      <c r="HN106" s="22"/>
      <c r="HO106" s="22"/>
      <c r="HP106" s="22"/>
      <c r="HQ106" s="22"/>
      <c r="HR106" s="22"/>
      <c r="HS106" s="22"/>
      <c r="HT106" s="22"/>
      <c r="HU106" s="22"/>
      <c r="HV106" s="22"/>
      <c r="HW106" s="22"/>
      <c r="HX106" s="22"/>
      <c r="HY106" s="22"/>
      <c r="HZ106" s="22"/>
      <c r="IA106" s="22"/>
      <c r="IB106" s="22"/>
      <c r="IC106" s="22"/>
      <c r="ID106" s="22"/>
      <c r="IE106" s="22"/>
      <c r="IF106" s="22"/>
      <c r="IG106" s="22"/>
      <c r="IH106" s="22"/>
      <c r="II106" s="22"/>
      <c r="IJ106" s="22"/>
      <c r="IK106" s="22"/>
      <c r="IL106" s="22"/>
      <c r="IM106" s="22"/>
      <c r="IN106" s="22"/>
      <c r="IO106" s="22"/>
      <c r="IP106" s="22"/>
      <c r="IQ106" s="22"/>
      <c r="IR106" s="22"/>
      <c r="IS106" s="22"/>
      <c r="IT106" s="22"/>
      <c r="IU106" s="22"/>
      <c r="IV106" s="22"/>
      <c r="IW106" s="22"/>
      <c r="IX106" s="22"/>
      <c r="IY106" s="22"/>
      <c r="IZ106" s="22"/>
      <c r="JA106" s="22"/>
      <c r="JB106" s="22"/>
      <c r="JC106" s="22"/>
      <c r="JD106" s="22"/>
    </row>
    <row r="107" spans="1:264" s="92" customFormat="1" x14ac:dyDescent="0.25">
      <c r="A107" s="20" t="s">
        <v>2652</v>
      </c>
      <c r="B107" s="22"/>
      <c r="C107" s="24" t="s">
        <v>3069</v>
      </c>
      <c r="D107" s="22"/>
      <c r="E107" s="178" t="s">
        <v>3070</v>
      </c>
      <c r="F107" s="22"/>
      <c r="G107" s="178"/>
      <c r="H107" s="673">
        <v>814002010420</v>
      </c>
      <c r="I107" s="178"/>
      <c r="J107" s="178"/>
      <c r="K107" s="731"/>
      <c r="L107" s="591"/>
      <c r="M107" s="22"/>
      <c r="N107" s="22"/>
      <c r="O107" s="28"/>
      <c r="P107" s="35">
        <f>3/16</f>
        <v>0.1875</v>
      </c>
      <c r="Q107" s="35">
        <v>5.75</v>
      </c>
      <c r="R107" s="35">
        <v>5.5</v>
      </c>
      <c r="S107" s="92">
        <v>1</v>
      </c>
      <c r="T107" s="28"/>
      <c r="U107" s="22"/>
      <c r="V107" s="22"/>
      <c r="W107" s="28"/>
      <c r="X107" s="761"/>
      <c r="Y107" s="22"/>
      <c r="Z107" s="22"/>
      <c r="AA107" s="769"/>
      <c r="AB107" s="28"/>
      <c r="AC107" s="22"/>
      <c r="AD107" s="22"/>
      <c r="AE107" s="769"/>
      <c r="AF107" s="28"/>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c r="FR107" s="22"/>
      <c r="FS107" s="22"/>
      <c r="FT107" s="22"/>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2"/>
      <c r="GR107" s="22"/>
      <c r="GS107" s="22"/>
      <c r="GT107" s="22"/>
      <c r="GU107" s="22"/>
      <c r="GV107" s="22"/>
      <c r="GW107" s="22"/>
      <c r="GX107" s="22"/>
      <c r="GY107" s="22"/>
      <c r="GZ107" s="22"/>
      <c r="HA107" s="22"/>
      <c r="HB107" s="22"/>
      <c r="HC107" s="22"/>
      <c r="HD107" s="22"/>
      <c r="HE107" s="22"/>
      <c r="HF107" s="22"/>
      <c r="HG107" s="22"/>
      <c r="HH107" s="22"/>
      <c r="HI107" s="22"/>
      <c r="HJ107" s="22"/>
      <c r="HK107" s="22"/>
      <c r="HL107" s="22"/>
      <c r="HM107" s="22"/>
      <c r="HN107" s="22"/>
      <c r="HO107" s="22"/>
      <c r="HP107" s="22"/>
      <c r="HQ107" s="22"/>
      <c r="HR107" s="22"/>
      <c r="HS107" s="22"/>
      <c r="HT107" s="22"/>
      <c r="HU107" s="22"/>
      <c r="HV107" s="22"/>
      <c r="HW107" s="22"/>
      <c r="HX107" s="22"/>
      <c r="HY107" s="22"/>
      <c r="HZ107" s="22"/>
      <c r="IA107" s="22"/>
      <c r="IB107" s="22"/>
      <c r="IC107" s="22"/>
      <c r="ID107" s="22"/>
      <c r="IE107" s="22"/>
      <c r="IF107" s="22"/>
      <c r="IG107" s="22"/>
      <c r="IH107" s="22"/>
      <c r="II107" s="22"/>
      <c r="IJ107" s="22"/>
      <c r="IK107" s="22"/>
      <c r="IL107" s="22"/>
      <c r="IM107" s="22"/>
      <c r="IN107" s="22"/>
      <c r="IO107" s="22"/>
      <c r="IP107" s="22"/>
      <c r="IQ107" s="22"/>
      <c r="IR107" s="22"/>
      <c r="IS107" s="22"/>
      <c r="IT107" s="22"/>
      <c r="IU107" s="22"/>
      <c r="IV107" s="22"/>
      <c r="IW107" s="22"/>
      <c r="IX107" s="22"/>
      <c r="IY107" s="22"/>
      <c r="IZ107" s="22"/>
      <c r="JA107" s="22"/>
      <c r="JB107" s="22"/>
      <c r="JC107" s="22"/>
      <c r="JD107" s="22"/>
    </row>
    <row r="108" spans="1:264" s="92" customFormat="1" x14ac:dyDescent="0.25">
      <c r="A108" s="20" t="s">
        <v>2652</v>
      </c>
      <c r="B108" s="22"/>
      <c r="C108" s="24" t="s">
        <v>3071</v>
      </c>
      <c r="D108" s="22"/>
      <c r="E108" s="178" t="s">
        <v>3072</v>
      </c>
      <c r="F108" s="22"/>
      <c r="G108" s="178"/>
      <c r="H108" s="673">
        <v>814002011540</v>
      </c>
      <c r="I108" s="178"/>
      <c r="J108" s="178"/>
      <c r="K108" s="731"/>
      <c r="L108" s="591"/>
      <c r="M108" s="22"/>
      <c r="N108" s="22"/>
      <c r="O108" s="37">
        <v>1</v>
      </c>
      <c r="P108" s="35">
        <f>18/16</f>
        <v>1.125</v>
      </c>
      <c r="Q108" s="35">
        <v>9</v>
      </c>
      <c r="R108" s="35">
        <v>7</v>
      </c>
      <c r="S108" s="92">
        <v>6</v>
      </c>
      <c r="T108" s="28"/>
      <c r="U108" s="22"/>
      <c r="V108" s="22"/>
      <c r="W108" s="28"/>
      <c r="X108" s="761"/>
      <c r="Y108" s="22"/>
      <c r="Z108" s="22"/>
      <c r="AA108" s="769"/>
      <c r="AB108" s="28"/>
      <c r="AC108" s="22"/>
      <c r="AD108" s="22"/>
      <c r="AE108" s="769"/>
      <c r="AF108" s="28"/>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c r="FO108" s="22"/>
      <c r="FP108" s="22"/>
      <c r="FQ108" s="22"/>
      <c r="FR108" s="22"/>
      <c r="FS108" s="22"/>
      <c r="FT108" s="22"/>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2"/>
      <c r="GR108" s="22"/>
      <c r="GS108" s="22"/>
      <c r="GT108" s="22"/>
      <c r="GU108" s="22"/>
      <c r="GV108" s="22"/>
      <c r="GW108" s="22"/>
      <c r="GX108" s="22"/>
      <c r="GY108" s="22"/>
      <c r="GZ108" s="22"/>
      <c r="HA108" s="22"/>
      <c r="HB108" s="22"/>
      <c r="HC108" s="22"/>
      <c r="HD108" s="22"/>
      <c r="HE108" s="22"/>
      <c r="HF108" s="22"/>
      <c r="HG108" s="22"/>
      <c r="HH108" s="22"/>
      <c r="HI108" s="22"/>
      <c r="HJ108" s="22"/>
      <c r="HK108" s="22"/>
      <c r="HL108" s="22"/>
      <c r="HM108" s="22"/>
      <c r="HN108" s="22"/>
      <c r="HO108" s="22"/>
      <c r="HP108" s="22"/>
      <c r="HQ108" s="22"/>
      <c r="HR108" s="22"/>
      <c r="HS108" s="22"/>
      <c r="HT108" s="22"/>
      <c r="HU108" s="22"/>
      <c r="HV108" s="22"/>
      <c r="HW108" s="22"/>
      <c r="HX108" s="22"/>
      <c r="HY108" s="22"/>
      <c r="HZ108" s="22"/>
      <c r="IA108" s="22"/>
      <c r="IB108" s="22"/>
      <c r="IC108" s="22"/>
      <c r="ID108" s="22"/>
      <c r="IE108" s="22"/>
      <c r="IF108" s="22"/>
      <c r="IG108" s="22"/>
      <c r="IH108" s="22"/>
      <c r="II108" s="22"/>
      <c r="IJ108" s="22"/>
      <c r="IK108" s="22"/>
      <c r="IL108" s="22"/>
      <c r="IM108" s="22"/>
      <c r="IN108" s="22"/>
      <c r="IO108" s="22"/>
      <c r="IP108" s="22"/>
      <c r="IQ108" s="22"/>
      <c r="IR108" s="22"/>
      <c r="IS108" s="22"/>
      <c r="IT108" s="22"/>
      <c r="IU108" s="22"/>
      <c r="IV108" s="22"/>
      <c r="IW108" s="22"/>
      <c r="IX108" s="22"/>
      <c r="IY108" s="22"/>
      <c r="IZ108" s="22"/>
      <c r="JA108" s="22"/>
      <c r="JB108" s="22"/>
      <c r="JC108" s="22"/>
      <c r="JD108" s="22"/>
    </row>
    <row r="109" spans="1:264" s="92" customFormat="1" x14ac:dyDescent="0.25">
      <c r="A109" s="20" t="s">
        <v>2652</v>
      </c>
      <c r="B109" s="22"/>
      <c r="C109" s="24" t="s">
        <v>3073</v>
      </c>
      <c r="D109" s="22"/>
      <c r="E109" s="178" t="s">
        <v>3074</v>
      </c>
      <c r="F109" s="22"/>
      <c r="G109" s="178"/>
      <c r="H109" s="178"/>
      <c r="I109" s="178"/>
      <c r="J109" s="178"/>
      <c r="K109" s="731"/>
      <c r="L109" s="591"/>
      <c r="M109" s="22"/>
      <c r="N109" s="22"/>
      <c r="O109" s="28"/>
      <c r="P109" s="35">
        <f>2/16</f>
        <v>0.125</v>
      </c>
      <c r="Q109" s="35">
        <v>40</v>
      </c>
      <c r="R109" s="35">
        <v>2</v>
      </c>
      <c r="T109" s="28"/>
      <c r="U109" s="22"/>
      <c r="V109" s="22"/>
      <c r="W109" s="28"/>
      <c r="X109" s="761"/>
      <c r="Y109" s="22"/>
      <c r="Z109" s="22"/>
      <c r="AA109" s="769"/>
      <c r="AB109" s="28"/>
      <c r="AC109" s="22"/>
      <c r="AD109" s="22"/>
      <c r="AE109" s="769"/>
      <c r="AF109" s="28"/>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c r="FO109" s="22"/>
      <c r="FP109" s="22"/>
      <c r="FQ109" s="22"/>
      <c r="FR109" s="22"/>
      <c r="FS109" s="22"/>
      <c r="FT109" s="22"/>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2"/>
      <c r="GR109" s="22"/>
      <c r="GS109" s="22"/>
      <c r="GT109" s="22"/>
      <c r="GU109" s="22"/>
      <c r="GV109" s="22"/>
      <c r="GW109" s="22"/>
      <c r="GX109" s="22"/>
      <c r="GY109" s="22"/>
      <c r="GZ109" s="22"/>
      <c r="HA109" s="22"/>
      <c r="HB109" s="22"/>
      <c r="HC109" s="22"/>
      <c r="HD109" s="22"/>
      <c r="HE109" s="22"/>
      <c r="HF109" s="22"/>
      <c r="HG109" s="22"/>
      <c r="HH109" s="22"/>
      <c r="HI109" s="22"/>
      <c r="HJ109" s="22"/>
      <c r="HK109" s="22"/>
      <c r="HL109" s="22"/>
      <c r="HM109" s="22"/>
      <c r="HN109" s="22"/>
      <c r="HO109" s="22"/>
      <c r="HP109" s="22"/>
      <c r="HQ109" s="22"/>
      <c r="HR109" s="22"/>
      <c r="HS109" s="22"/>
      <c r="HT109" s="22"/>
      <c r="HU109" s="22"/>
      <c r="HV109" s="22"/>
      <c r="HW109" s="22"/>
      <c r="HX109" s="22"/>
      <c r="HY109" s="22"/>
      <c r="HZ109" s="22"/>
      <c r="IA109" s="22"/>
      <c r="IB109" s="22"/>
      <c r="IC109" s="22"/>
      <c r="ID109" s="22"/>
      <c r="IE109" s="22"/>
      <c r="IF109" s="22"/>
      <c r="IG109" s="22"/>
      <c r="IH109" s="22"/>
      <c r="II109" s="22"/>
      <c r="IJ109" s="22"/>
      <c r="IK109" s="22"/>
      <c r="IL109" s="22"/>
      <c r="IM109" s="22"/>
      <c r="IN109" s="22"/>
      <c r="IO109" s="22"/>
      <c r="IP109" s="22"/>
      <c r="IQ109" s="22"/>
      <c r="IR109" s="22"/>
      <c r="IS109" s="22"/>
      <c r="IT109" s="22"/>
      <c r="IU109" s="22"/>
      <c r="IV109" s="22"/>
      <c r="IW109" s="22"/>
      <c r="IX109" s="22"/>
      <c r="IY109" s="22"/>
      <c r="IZ109" s="22"/>
      <c r="JA109" s="22"/>
      <c r="JB109" s="22"/>
      <c r="JC109" s="22"/>
      <c r="JD109" s="22"/>
    </row>
    <row r="110" spans="1:264" s="92" customFormat="1" x14ac:dyDescent="0.25">
      <c r="A110" s="20" t="s">
        <v>2652</v>
      </c>
      <c r="B110" s="22"/>
      <c r="C110" s="24" t="s">
        <v>3075</v>
      </c>
      <c r="D110" s="22"/>
      <c r="E110" s="178" t="s">
        <v>3076</v>
      </c>
      <c r="F110" s="22"/>
      <c r="G110" s="178"/>
      <c r="H110" s="673">
        <v>814002011960</v>
      </c>
      <c r="I110" s="178"/>
      <c r="J110" s="178"/>
      <c r="K110" s="731"/>
      <c r="L110" s="591"/>
      <c r="M110" s="22"/>
      <c r="N110" s="22"/>
      <c r="O110" s="28">
        <v>1</v>
      </c>
      <c r="P110" s="35">
        <v>37</v>
      </c>
      <c r="Q110" s="35">
        <v>23</v>
      </c>
      <c r="R110" s="35">
        <v>15</v>
      </c>
      <c r="S110" s="92">
        <v>65</v>
      </c>
      <c r="T110" s="28"/>
      <c r="U110" s="22"/>
      <c r="V110" s="22"/>
      <c r="W110" s="28"/>
      <c r="X110" s="761"/>
      <c r="Y110" s="22"/>
      <c r="Z110" s="22"/>
      <c r="AA110" s="769"/>
      <c r="AB110" s="28"/>
      <c r="AC110" s="22"/>
      <c r="AD110" s="22"/>
      <c r="AE110" s="769"/>
      <c r="AF110" s="28"/>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c r="FR110" s="22"/>
      <c r="FS110" s="22"/>
      <c r="FT110" s="22"/>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2"/>
      <c r="GR110" s="22"/>
      <c r="GS110" s="22"/>
      <c r="GT110" s="22"/>
      <c r="GU110" s="22"/>
      <c r="GV110" s="22"/>
      <c r="GW110" s="22"/>
      <c r="GX110" s="22"/>
      <c r="GY110" s="22"/>
      <c r="GZ110" s="22"/>
      <c r="HA110" s="22"/>
      <c r="HB110" s="22"/>
      <c r="HC110" s="22"/>
      <c r="HD110" s="22"/>
      <c r="HE110" s="22"/>
      <c r="HF110" s="22"/>
      <c r="HG110" s="22"/>
      <c r="HH110" s="22"/>
      <c r="HI110" s="22"/>
      <c r="HJ110" s="22"/>
      <c r="HK110" s="22"/>
      <c r="HL110" s="22"/>
      <c r="HM110" s="22"/>
      <c r="HN110" s="22"/>
      <c r="HO110" s="22"/>
      <c r="HP110" s="22"/>
      <c r="HQ110" s="22"/>
      <c r="HR110" s="22"/>
      <c r="HS110" s="22"/>
      <c r="HT110" s="22"/>
      <c r="HU110" s="22"/>
      <c r="HV110" s="22"/>
      <c r="HW110" s="22"/>
      <c r="HX110" s="22"/>
      <c r="HY110" s="22"/>
      <c r="HZ110" s="22"/>
      <c r="IA110" s="22"/>
      <c r="IB110" s="22"/>
      <c r="IC110" s="22"/>
      <c r="ID110" s="22"/>
      <c r="IE110" s="22"/>
      <c r="IF110" s="22"/>
      <c r="IG110" s="22"/>
      <c r="IH110" s="22"/>
      <c r="II110" s="22"/>
      <c r="IJ110" s="22"/>
      <c r="IK110" s="22"/>
      <c r="IL110" s="22"/>
      <c r="IM110" s="22"/>
      <c r="IN110" s="22"/>
      <c r="IO110" s="22"/>
      <c r="IP110" s="22"/>
      <c r="IQ110" s="22"/>
      <c r="IR110" s="22"/>
      <c r="IS110" s="22"/>
      <c r="IT110" s="22"/>
      <c r="IU110" s="22"/>
      <c r="IV110" s="22"/>
      <c r="IW110" s="22"/>
      <c r="IX110" s="22"/>
      <c r="IY110" s="22"/>
      <c r="IZ110" s="22"/>
      <c r="JA110" s="22"/>
      <c r="JB110" s="22"/>
      <c r="JC110" s="22"/>
      <c r="JD110" s="22"/>
    </row>
    <row r="111" spans="1:264" x14ac:dyDescent="0.25">
      <c r="X111" s="761"/>
      <c r="AA111" s="769"/>
      <c r="AE111" s="769"/>
    </row>
  </sheetData>
  <mergeCells count="3">
    <mergeCell ref="A3:C3"/>
    <mergeCell ref="A21:B21"/>
    <mergeCell ref="A50:B50"/>
  </mergeCells>
  <dataValidations count="1">
    <dataValidation allowBlank="1" showErrorMessage="1" sqref="I2:J2"/>
  </dataValidations>
  <pageMargins left="0.25" right="0.25" top="0.25" bottom="0.25" header="0.3" footer="0.3"/>
  <pageSetup paperSize="3"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80"/>
  <sheetViews>
    <sheetView zoomScaleNormal="100" workbookViewId="0">
      <pane xSplit="6" ySplit="2" topLeftCell="G3" activePane="bottomRight" state="frozen"/>
      <selection pane="topRight" activeCell="F1" sqref="F1"/>
      <selection pane="bottomLeft" activeCell="A2" sqref="A2"/>
      <selection pane="bottomRight" activeCell="M1" sqref="M1:M1048576"/>
    </sheetView>
  </sheetViews>
  <sheetFormatPr defaultRowHeight="13.2" x14ac:dyDescent="0.25"/>
  <cols>
    <col min="1" max="1" width="19.5546875" customWidth="1"/>
    <col min="2" max="2" width="8.33203125" style="22" customWidth="1"/>
    <col min="3" max="3" width="13" bestFit="1" customWidth="1"/>
    <col min="4" max="4" width="13.44140625" customWidth="1"/>
    <col min="5" max="5" width="32.5546875" bestFit="1" customWidth="1"/>
    <col min="6" max="6" width="21.33203125" customWidth="1"/>
    <col min="7" max="7" width="12.5546875" bestFit="1" customWidth="1"/>
    <col min="8" max="9" width="14.5546875" style="272" customWidth="1"/>
    <col min="10" max="10" width="15.33203125" style="272" bestFit="1" customWidth="1"/>
    <col min="11" max="11" width="13.33203125" customWidth="1"/>
    <col min="12" max="12" width="7.33203125" customWidth="1"/>
    <col min="13" max="13" width="8.44140625" customWidth="1"/>
    <col min="14" max="14" width="6.6640625" customWidth="1"/>
    <col min="15" max="15" width="7.33203125" style="282" customWidth="1"/>
    <col min="16" max="16" width="12.5546875" style="177" customWidth="1"/>
    <col min="17" max="18" width="12.5546875" style="177" bestFit="1" customWidth="1"/>
    <col min="19" max="19" width="12.5546875" style="227" bestFit="1" customWidth="1"/>
    <col min="20" max="20" width="10.33203125" style="283" customWidth="1"/>
    <col min="21" max="22" width="10.33203125" bestFit="1" customWidth="1"/>
    <col min="23" max="23" width="10.44140625" style="282" bestFit="1" customWidth="1"/>
    <col min="24" max="24" width="10.6640625" style="273" bestFit="1" customWidth="1"/>
    <col min="25" max="26" width="10.6640625" bestFit="1" customWidth="1"/>
    <col min="27" max="27" width="10.6640625" style="282" bestFit="1" customWidth="1"/>
    <col min="28" max="28" width="7.44140625" style="273" bestFit="1" customWidth="1"/>
    <col min="29" max="29" width="9.6640625" customWidth="1"/>
    <col min="30" max="30" width="10" bestFit="1" customWidth="1"/>
    <col min="31" max="31" width="10.44140625" style="282" bestFit="1" customWidth="1"/>
    <col min="32" max="32" width="10.33203125" style="273" bestFit="1" customWidth="1"/>
    <col min="33" max="40" width="10.6640625" customWidth="1"/>
  </cols>
  <sheetData>
    <row r="1" spans="1:43" ht="57" customHeight="1" thickBot="1" x14ac:dyDescent="0.3">
      <c r="B1" s="28"/>
      <c r="O1" s="467"/>
      <c r="P1" s="484"/>
      <c r="Q1" s="484"/>
      <c r="R1" s="484"/>
      <c r="S1" s="484"/>
      <c r="T1" s="485"/>
      <c r="W1" s="467"/>
      <c r="X1" s="467"/>
      <c r="AA1" s="467"/>
      <c r="AB1" s="467"/>
      <c r="AE1" s="467"/>
      <c r="AF1" s="467"/>
    </row>
    <row r="2" spans="1:43" s="289" customFormat="1" ht="41.4" thickBot="1" x14ac:dyDescent="0.25">
      <c r="A2" s="477" t="s">
        <v>19</v>
      </c>
      <c r="B2" s="478" t="s">
        <v>1444</v>
      </c>
      <c r="C2" s="479" t="s">
        <v>26</v>
      </c>
      <c r="D2" s="479" t="s">
        <v>11</v>
      </c>
      <c r="E2" s="479" t="s">
        <v>12</v>
      </c>
      <c r="F2" s="479" t="s">
        <v>13</v>
      </c>
      <c r="G2" s="479" t="s">
        <v>1484</v>
      </c>
      <c r="H2" s="480" t="s">
        <v>115</v>
      </c>
      <c r="I2" s="481" t="s">
        <v>1504</v>
      </c>
      <c r="J2" s="481" t="s">
        <v>1503</v>
      </c>
      <c r="K2" s="480" t="s">
        <v>67</v>
      </c>
      <c r="L2" s="480" t="s">
        <v>324</v>
      </c>
      <c r="M2" s="479" t="s">
        <v>20</v>
      </c>
      <c r="N2" s="479" t="s">
        <v>6</v>
      </c>
      <c r="O2" s="483" t="s">
        <v>7</v>
      </c>
      <c r="P2" s="477" t="s">
        <v>1481</v>
      </c>
      <c r="Q2" s="482" t="s">
        <v>1730</v>
      </c>
      <c r="R2" s="482" t="s">
        <v>1482</v>
      </c>
      <c r="S2" s="483" t="s">
        <v>1483</v>
      </c>
      <c r="T2" s="477" t="s">
        <v>1434</v>
      </c>
      <c r="U2" s="482" t="s">
        <v>1731</v>
      </c>
      <c r="V2" s="482" t="s">
        <v>1435</v>
      </c>
      <c r="W2" s="483" t="s">
        <v>1436</v>
      </c>
      <c r="X2" s="477" t="s">
        <v>1437</v>
      </c>
      <c r="Y2" s="482" t="s">
        <v>1732</v>
      </c>
      <c r="Z2" s="482" t="s">
        <v>1438</v>
      </c>
      <c r="AA2" s="483" t="s">
        <v>1439</v>
      </c>
      <c r="AB2" s="477" t="s">
        <v>1440</v>
      </c>
      <c r="AC2" s="482" t="s">
        <v>1733</v>
      </c>
      <c r="AD2" s="482" t="s">
        <v>1441</v>
      </c>
      <c r="AE2" s="483" t="s">
        <v>1443</v>
      </c>
      <c r="AF2" s="477" t="s">
        <v>1453</v>
      </c>
      <c r="AG2" s="383" t="s">
        <v>21</v>
      </c>
      <c r="AH2" s="383" t="s">
        <v>22</v>
      </c>
      <c r="AI2" s="383" t="s">
        <v>23</v>
      </c>
      <c r="AJ2" s="383" t="s">
        <v>24</v>
      </c>
      <c r="AK2" s="383" t="s">
        <v>25</v>
      </c>
      <c r="AL2" s="383" t="s">
        <v>1103</v>
      </c>
      <c r="AM2" s="383" t="s">
        <v>1104</v>
      </c>
      <c r="AN2" s="383" t="s">
        <v>1105</v>
      </c>
      <c r="AO2" s="384" t="s">
        <v>27</v>
      </c>
      <c r="AP2" s="384" t="s">
        <v>28</v>
      </c>
      <c r="AQ2" s="385" t="s">
        <v>29</v>
      </c>
    </row>
    <row r="3" spans="1:43" s="16" customFormat="1" ht="15.6" x14ac:dyDescent="0.3">
      <c r="A3" s="109" t="s">
        <v>2002</v>
      </c>
      <c r="B3" s="370"/>
      <c r="C3" s="17"/>
      <c r="D3" s="17"/>
      <c r="E3" s="18"/>
      <c r="H3" s="29"/>
      <c r="I3" s="29"/>
      <c r="J3" s="29"/>
      <c r="K3" s="29"/>
      <c r="L3" s="22"/>
      <c r="M3" s="6"/>
      <c r="N3" s="19"/>
      <c r="O3" s="77"/>
      <c r="P3" s="321"/>
      <c r="Q3" s="321"/>
      <c r="R3" s="321"/>
      <c r="S3" s="322"/>
      <c r="T3" s="35"/>
      <c r="U3" s="17"/>
      <c r="V3" s="17"/>
      <c r="W3" s="45"/>
      <c r="X3" s="44"/>
      <c r="Y3" s="17"/>
      <c r="Z3" s="17"/>
      <c r="AA3" s="45"/>
      <c r="AB3" s="44"/>
      <c r="AC3" s="17"/>
      <c r="AD3" s="17"/>
      <c r="AE3" s="45"/>
      <c r="AF3" s="43"/>
    </row>
    <row r="4" spans="1:43" s="330" customFormat="1" ht="12.75" customHeight="1" x14ac:dyDescent="0.25">
      <c r="A4" s="460" t="s">
        <v>296</v>
      </c>
      <c r="B4" s="141"/>
      <c r="C4" s="328"/>
      <c r="D4" s="328"/>
      <c r="E4" s="329"/>
      <c r="H4" s="331"/>
      <c r="I4" s="331"/>
      <c r="J4" s="331"/>
      <c r="K4" s="331"/>
      <c r="L4" s="332"/>
      <c r="M4" s="333"/>
      <c r="N4" s="334"/>
      <c r="O4" s="335"/>
      <c r="P4" s="35"/>
      <c r="Q4" s="35"/>
      <c r="R4" s="35"/>
      <c r="S4" s="72"/>
      <c r="T4" s="324"/>
      <c r="U4" s="328"/>
      <c r="V4" s="328"/>
      <c r="W4" s="336"/>
      <c r="X4" s="468"/>
      <c r="Y4" s="328"/>
      <c r="Z4" s="328"/>
      <c r="AA4" s="336"/>
      <c r="AB4" s="468"/>
      <c r="AC4" s="328"/>
      <c r="AD4" s="328"/>
      <c r="AE4" s="336"/>
      <c r="AF4" s="464"/>
    </row>
    <row r="5" spans="1:43" s="16" customFormat="1" ht="12.75" customHeight="1" x14ac:dyDescent="0.3">
      <c r="A5" s="20" t="s">
        <v>1674</v>
      </c>
      <c r="B5" s="141"/>
      <c r="C5" s="47" t="s">
        <v>899</v>
      </c>
      <c r="D5" s="21" t="s">
        <v>988</v>
      </c>
      <c r="E5" s="22" t="s">
        <v>1987</v>
      </c>
      <c r="F5" s="21" t="s">
        <v>1989</v>
      </c>
      <c r="G5" s="21" t="s">
        <v>1517</v>
      </c>
      <c r="H5" s="120" t="s">
        <v>900</v>
      </c>
      <c r="I5" s="120" t="s">
        <v>66</v>
      </c>
      <c r="J5" s="353" t="s">
        <v>2632</v>
      </c>
      <c r="K5" s="30" t="s">
        <v>148</v>
      </c>
      <c r="L5" s="29" t="s">
        <v>325</v>
      </c>
      <c r="M5" s="6">
        <v>34.99</v>
      </c>
      <c r="N5" s="37">
        <v>1</v>
      </c>
      <c r="O5" s="228">
        <v>4</v>
      </c>
      <c r="P5" s="35">
        <v>2.5</v>
      </c>
      <c r="Q5" s="35">
        <v>8</v>
      </c>
      <c r="R5" s="35">
        <v>8</v>
      </c>
      <c r="S5" s="72">
        <v>8</v>
      </c>
      <c r="T5" s="35">
        <f>49.1/16</f>
        <v>3.0687500000000001</v>
      </c>
      <c r="U5" s="35">
        <v>9</v>
      </c>
      <c r="V5" s="35">
        <v>9</v>
      </c>
      <c r="W5" s="72">
        <v>8.5</v>
      </c>
      <c r="X5" s="46" t="s">
        <v>66</v>
      </c>
      <c r="Y5" s="35" t="s">
        <v>66</v>
      </c>
      <c r="Z5" s="35" t="s">
        <v>66</v>
      </c>
      <c r="AA5" s="72" t="s">
        <v>66</v>
      </c>
      <c r="AB5" s="46">
        <f>CONVERT(6500,"g","lbm")</f>
        <v>14.330047042017043</v>
      </c>
      <c r="AC5" s="35">
        <f>CONVERT(0.455,"m","in")</f>
        <v>17.913385826771652</v>
      </c>
      <c r="AD5" s="35">
        <f>CONVERT(0.455,"m","in")</f>
        <v>17.913385826771652</v>
      </c>
      <c r="AE5" s="72">
        <f>CONVERT(0.235,"m","in")</f>
        <v>9.2519685039370074</v>
      </c>
      <c r="AF5" s="44">
        <f>AC5*AD5*AE5/(12^3)</f>
        <v>1.7180894363338008</v>
      </c>
      <c r="AG5" s="39" t="s">
        <v>2007</v>
      </c>
      <c r="AH5" s="39" t="s">
        <v>2008</v>
      </c>
      <c r="AI5" s="39" t="s">
        <v>2009</v>
      </c>
      <c r="AJ5" s="39" t="s">
        <v>2010</v>
      </c>
      <c r="AK5" s="39" t="s">
        <v>2011</v>
      </c>
      <c r="AL5" s="39" t="s">
        <v>2012</v>
      </c>
      <c r="AM5" s="39" t="s">
        <v>2013</v>
      </c>
      <c r="AN5" s="490" t="s">
        <v>2017</v>
      </c>
      <c r="AO5" s="39" t="s">
        <v>2014</v>
      </c>
      <c r="AP5" s="20" t="s">
        <v>2015</v>
      </c>
      <c r="AQ5" s="20"/>
    </row>
    <row r="6" spans="1:43" s="16" customFormat="1" ht="12.75" customHeight="1" x14ac:dyDescent="0.3">
      <c r="A6" s="20" t="s">
        <v>1674</v>
      </c>
      <c r="B6" s="141"/>
      <c r="C6" s="47" t="s">
        <v>899</v>
      </c>
      <c r="D6" s="21" t="s">
        <v>951</v>
      </c>
      <c r="E6" s="22" t="s">
        <v>1987</v>
      </c>
      <c r="F6" s="21" t="s">
        <v>1990</v>
      </c>
      <c r="G6" s="21" t="s">
        <v>1517</v>
      </c>
      <c r="H6" s="66" t="s">
        <v>950</v>
      </c>
      <c r="I6" s="66" t="s">
        <v>66</v>
      </c>
      <c r="J6" s="294">
        <v>20054269001296</v>
      </c>
      <c r="K6" s="30" t="s">
        <v>148</v>
      </c>
      <c r="L6" s="29" t="s">
        <v>325</v>
      </c>
      <c r="M6" s="6">
        <v>34.99</v>
      </c>
      <c r="N6" s="37">
        <v>1</v>
      </c>
      <c r="O6" s="228">
        <v>4</v>
      </c>
      <c r="P6" s="35">
        <v>2.5</v>
      </c>
      <c r="Q6" s="35">
        <v>8</v>
      </c>
      <c r="R6" s="35">
        <v>8</v>
      </c>
      <c r="S6" s="72">
        <v>8</v>
      </c>
      <c r="T6" s="35">
        <f t="shared" ref="T6:T7" si="0">49.1/16</f>
        <v>3.0687500000000001</v>
      </c>
      <c r="U6" s="35">
        <v>9</v>
      </c>
      <c r="V6" s="35">
        <v>9</v>
      </c>
      <c r="W6" s="72">
        <v>8.5</v>
      </c>
      <c r="X6" s="46" t="s">
        <v>66</v>
      </c>
      <c r="Y6" s="35" t="s">
        <v>66</v>
      </c>
      <c r="Z6" s="35" t="s">
        <v>66</v>
      </c>
      <c r="AA6" s="72" t="s">
        <v>66</v>
      </c>
      <c r="AB6" s="46">
        <f t="shared" ref="AB6:AB7" si="1">CONVERT(6500,"g","lbm")</f>
        <v>14.330047042017043</v>
      </c>
      <c r="AC6" s="35">
        <f t="shared" ref="AC6:AD7" si="2">CONVERT(0.455,"m","in")</f>
        <v>17.913385826771652</v>
      </c>
      <c r="AD6" s="35">
        <f t="shared" si="2"/>
        <v>17.913385826771652</v>
      </c>
      <c r="AE6" s="72">
        <f t="shared" ref="AE6:AE7" si="3">CONVERT(0.235,"m","in")</f>
        <v>9.2519685039370074</v>
      </c>
      <c r="AF6" s="44">
        <f>AC6*AD6*AE6/(12^3)</f>
        <v>1.7180894363338008</v>
      </c>
      <c r="AG6" s="39" t="s">
        <v>2007</v>
      </c>
      <c r="AH6" s="39" t="s">
        <v>2008</v>
      </c>
      <c r="AI6" s="39" t="s">
        <v>2009</v>
      </c>
      <c r="AJ6" s="39" t="s">
        <v>2010</v>
      </c>
      <c r="AK6" s="39" t="s">
        <v>2011</v>
      </c>
      <c r="AL6" s="39" t="s">
        <v>2012</v>
      </c>
      <c r="AM6" s="39" t="s">
        <v>2013</v>
      </c>
      <c r="AN6" s="490" t="s">
        <v>2017</v>
      </c>
      <c r="AO6" s="39" t="s">
        <v>2014</v>
      </c>
      <c r="AP6" s="20" t="s">
        <v>2015</v>
      </c>
      <c r="AQ6" s="20"/>
    </row>
    <row r="7" spans="1:43" s="16" customFormat="1" ht="12.75" customHeight="1" x14ac:dyDescent="0.3">
      <c r="A7" s="20" t="s">
        <v>1674</v>
      </c>
      <c r="B7" s="141"/>
      <c r="C7" s="47" t="s">
        <v>899</v>
      </c>
      <c r="D7" s="22" t="s">
        <v>92</v>
      </c>
      <c r="E7" s="22" t="s">
        <v>1987</v>
      </c>
      <c r="F7" s="22" t="s">
        <v>51</v>
      </c>
      <c r="G7" s="22" t="s">
        <v>1517</v>
      </c>
      <c r="H7" s="66" t="s">
        <v>983</v>
      </c>
      <c r="I7" s="66" t="s">
        <v>66</v>
      </c>
      <c r="J7" s="294">
        <v>20054269001333</v>
      </c>
      <c r="K7" s="30" t="s">
        <v>148</v>
      </c>
      <c r="L7" s="29" t="s">
        <v>325</v>
      </c>
      <c r="M7" s="6">
        <v>34.99</v>
      </c>
      <c r="N7" s="37">
        <v>1</v>
      </c>
      <c r="O7" s="228">
        <v>4</v>
      </c>
      <c r="P7" s="35">
        <v>2.5</v>
      </c>
      <c r="Q7" s="35">
        <v>8</v>
      </c>
      <c r="R7" s="35">
        <v>8</v>
      </c>
      <c r="S7" s="72">
        <v>8</v>
      </c>
      <c r="T7" s="35">
        <f t="shared" si="0"/>
        <v>3.0687500000000001</v>
      </c>
      <c r="U7" s="35">
        <v>9</v>
      </c>
      <c r="V7" s="35">
        <v>9</v>
      </c>
      <c r="W7" s="72">
        <v>8.5</v>
      </c>
      <c r="X7" s="46" t="s">
        <v>66</v>
      </c>
      <c r="Y7" s="35" t="s">
        <v>66</v>
      </c>
      <c r="Z7" s="35" t="s">
        <v>66</v>
      </c>
      <c r="AA7" s="72" t="s">
        <v>66</v>
      </c>
      <c r="AB7" s="46">
        <f t="shared" si="1"/>
        <v>14.330047042017043</v>
      </c>
      <c r="AC7" s="35">
        <f t="shared" si="2"/>
        <v>17.913385826771652</v>
      </c>
      <c r="AD7" s="35">
        <f t="shared" si="2"/>
        <v>17.913385826771652</v>
      </c>
      <c r="AE7" s="72">
        <f t="shared" si="3"/>
        <v>9.2519685039370074</v>
      </c>
      <c r="AF7" s="44">
        <f>AC7*AD7*AE7/(12^3)</f>
        <v>1.7180894363338008</v>
      </c>
      <c r="AG7" s="39" t="s">
        <v>2007</v>
      </c>
      <c r="AH7" s="39" t="s">
        <v>2008</v>
      </c>
      <c r="AI7" s="39" t="s">
        <v>2009</v>
      </c>
      <c r="AJ7" s="39" t="s">
        <v>2010</v>
      </c>
      <c r="AK7" s="39" t="s">
        <v>2011</v>
      </c>
      <c r="AL7" s="39" t="s">
        <v>2012</v>
      </c>
      <c r="AM7" s="39" t="s">
        <v>2013</v>
      </c>
      <c r="AN7" s="490" t="s">
        <v>2017</v>
      </c>
      <c r="AO7" s="39" t="s">
        <v>2014</v>
      </c>
      <c r="AP7" s="20" t="s">
        <v>2015</v>
      </c>
      <c r="AQ7" s="20"/>
    </row>
    <row r="8" spans="1:43" s="342" customFormat="1" ht="12.75" customHeight="1" x14ac:dyDescent="0.25">
      <c r="A8" s="213" t="s">
        <v>295</v>
      </c>
      <c r="B8" s="141"/>
      <c r="C8" s="337"/>
      <c r="D8" s="338"/>
      <c r="E8" s="320"/>
      <c r="F8" s="338"/>
      <c r="G8" s="338"/>
      <c r="H8" s="462"/>
      <c r="I8" s="462"/>
      <c r="J8" s="584"/>
      <c r="K8" s="339"/>
      <c r="L8" s="340"/>
      <c r="M8" s="341"/>
      <c r="N8" s="316"/>
      <c r="O8" s="317"/>
      <c r="P8" s="35"/>
      <c r="Q8" s="35"/>
      <c r="R8" s="35"/>
      <c r="S8" s="72"/>
      <c r="T8" s="324"/>
      <c r="U8" s="324"/>
      <c r="V8" s="324"/>
      <c r="W8" s="325"/>
      <c r="X8" s="465"/>
      <c r="Y8" s="324"/>
      <c r="Z8" s="324"/>
      <c r="AA8" s="325"/>
      <c r="AB8" s="465"/>
      <c r="AC8" s="324"/>
      <c r="AD8" s="324"/>
      <c r="AE8" s="325"/>
      <c r="AF8" s="44"/>
      <c r="AG8" s="320"/>
      <c r="AH8" s="320"/>
      <c r="AI8" s="320"/>
      <c r="AJ8" s="320"/>
      <c r="AK8" s="320"/>
      <c r="AL8" s="320"/>
      <c r="AM8" s="320"/>
      <c r="AN8" s="320"/>
      <c r="AO8" s="320"/>
    </row>
    <row r="9" spans="1:43" s="16" customFormat="1" ht="12.75" customHeight="1" x14ac:dyDescent="0.3">
      <c r="A9" s="20" t="s">
        <v>1674</v>
      </c>
      <c r="B9" s="141"/>
      <c r="C9" s="22" t="s">
        <v>984</v>
      </c>
      <c r="D9" s="69" t="s">
        <v>988</v>
      </c>
      <c r="E9" s="22" t="s">
        <v>1988</v>
      </c>
      <c r="F9" s="69" t="s">
        <v>1989</v>
      </c>
      <c r="G9" s="69" t="s">
        <v>1517</v>
      </c>
      <c r="H9" s="66" t="s">
        <v>985</v>
      </c>
      <c r="I9" s="66" t="s">
        <v>66</v>
      </c>
      <c r="J9" s="294">
        <v>20054269001340</v>
      </c>
      <c r="K9" s="30" t="s">
        <v>148</v>
      </c>
      <c r="L9" s="29" t="s">
        <v>325</v>
      </c>
      <c r="M9" s="131">
        <v>49.99</v>
      </c>
      <c r="N9" s="37">
        <v>1</v>
      </c>
      <c r="O9" s="228">
        <v>4</v>
      </c>
      <c r="P9" s="35">
        <v>3.5</v>
      </c>
      <c r="Q9" s="35">
        <v>9</v>
      </c>
      <c r="R9" s="35">
        <v>9</v>
      </c>
      <c r="S9" s="72">
        <v>9</v>
      </c>
      <c r="T9" s="35">
        <v>3.5</v>
      </c>
      <c r="U9" s="35">
        <v>9.75</v>
      </c>
      <c r="V9" s="35">
        <v>9.75</v>
      </c>
      <c r="W9" s="72">
        <v>9.75</v>
      </c>
      <c r="X9" s="46" t="s">
        <v>66</v>
      </c>
      <c r="Y9" s="35" t="s">
        <v>66</v>
      </c>
      <c r="Z9" s="35" t="s">
        <v>66</v>
      </c>
      <c r="AA9" s="72" t="s">
        <v>66</v>
      </c>
      <c r="AB9" s="46">
        <f>CONVERT(7.5,"kg","lbm")</f>
        <v>16.534669663865817</v>
      </c>
      <c r="AC9" s="35">
        <f>CONVERT(51,"cm","in")</f>
        <v>20.078740157480315</v>
      </c>
      <c r="AD9" s="35">
        <f t="shared" ref="AD9:AD11" si="4">CONVERT(51,"cm","in")</f>
        <v>20.078740157480315</v>
      </c>
      <c r="AE9" s="35">
        <f>CONVERT(26.5,"cm","in")</f>
        <v>10.433070866141732</v>
      </c>
      <c r="AF9" s="44">
        <f>AC9*AD9*AE9/(12^3)</f>
        <v>2.4341163757786828</v>
      </c>
      <c r="AG9" s="39" t="s">
        <v>2007</v>
      </c>
      <c r="AH9" s="39" t="s">
        <v>2008</v>
      </c>
      <c r="AI9" s="39" t="s">
        <v>2016</v>
      </c>
      <c r="AJ9" s="39" t="s">
        <v>2010</v>
      </c>
      <c r="AK9" s="39" t="s">
        <v>2011</v>
      </c>
      <c r="AL9" s="39" t="s">
        <v>2012</v>
      </c>
      <c r="AM9" s="39" t="s">
        <v>2013</v>
      </c>
      <c r="AN9" s="490" t="s">
        <v>2018</v>
      </c>
      <c r="AO9" s="39" t="s">
        <v>2019</v>
      </c>
      <c r="AP9" s="20" t="s">
        <v>2015</v>
      </c>
      <c r="AQ9" s="20"/>
    </row>
    <row r="10" spans="1:43" s="16" customFormat="1" ht="12.75" customHeight="1" x14ac:dyDescent="0.3">
      <c r="A10" s="20" t="s">
        <v>1674</v>
      </c>
      <c r="B10" s="141"/>
      <c r="C10" s="22" t="s">
        <v>984</v>
      </c>
      <c r="D10" s="69" t="s">
        <v>785</v>
      </c>
      <c r="E10" s="22" t="s">
        <v>1988</v>
      </c>
      <c r="F10" s="69" t="s">
        <v>881</v>
      </c>
      <c r="G10" s="69" t="s">
        <v>1517</v>
      </c>
      <c r="H10" s="66" t="s">
        <v>986</v>
      </c>
      <c r="I10" s="66" t="s">
        <v>66</v>
      </c>
      <c r="J10" s="294">
        <v>20054269001357</v>
      </c>
      <c r="K10" s="30" t="s">
        <v>148</v>
      </c>
      <c r="L10" s="29" t="s">
        <v>325</v>
      </c>
      <c r="M10" s="131">
        <v>49.99</v>
      </c>
      <c r="N10" s="37">
        <v>1</v>
      </c>
      <c r="O10" s="228">
        <v>4</v>
      </c>
      <c r="P10" s="35">
        <v>3.5</v>
      </c>
      <c r="Q10" s="35">
        <v>9</v>
      </c>
      <c r="R10" s="35">
        <v>9</v>
      </c>
      <c r="S10" s="72">
        <v>9</v>
      </c>
      <c r="T10" s="35">
        <v>3.5</v>
      </c>
      <c r="U10" s="35">
        <v>9.75</v>
      </c>
      <c r="V10" s="35">
        <v>9.75</v>
      </c>
      <c r="W10" s="72">
        <v>9.75</v>
      </c>
      <c r="X10" s="46" t="s">
        <v>66</v>
      </c>
      <c r="Y10" s="35" t="s">
        <v>66</v>
      </c>
      <c r="Z10" s="35" t="s">
        <v>66</v>
      </c>
      <c r="AA10" s="72" t="s">
        <v>66</v>
      </c>
      <c r="AB10" s="46">
        <f t="shared" ref="AB10:AB11" si="5">CONVERT(7.5,"kg","lbm")</f>
        <v>16.534669663865817</v>
      </c>
      <c r="AC10" s="35">
        <f t="shared" ref="AC10:AC11" si="6">CONVERT(51,"cm","in")</f>
        <v>20.078740157480315</v>
      </c>
      <c r="AD10" s="35">
        <f t="shared" si="4"/>
        <v>20.078740157480315</v>
      </c>
      <c r="AE10" s="35">
        <f t="shared" ref="AE10:AE11" si="7">CONVERT(26.5,"cm","in")</f>
        <v>10.433070866141732</v>
      </c>
      <c r="AF10" s="44">
        <f>AC10*AD10*AE10/(12^3)</f>
        <v>2.4341163757786828</v>
      </c>
      <c r="AG10" s="39" t="s">
        <v>2007</v>
      </c>
      <c r="AH10" s="39" t="s">
        <v>2008</v>
      </c>
      <c r="AI10" s="39" t="s">
        <v>2016</v>
      </c>
      <c r="AJ10" s="39" t="s">
        <v>2010</v>
      </c>
      <c r="AK10" s="39" t="s">
        <v>2011</v>
      </c>
      <c r="AL10" s="39" t="s">
        <v>2012</v>
      </c>
      <c r="AM10" s="39" t="s">
        <v>2013</v>
      </c>
      <c r="AN10" s="490" t="s">
        <v>2018</v>
      </c>
      <c r="AO10" s="39" t="s">
        <v>2019</v>
      </c>
      <c r="AP10" s="20" t="s">
        <v>2015</v>
      </c>
      <c r="AQ10" s="20"/>
    </row>
    <row r="11" spans="1:43" s="16" customFormat="1" ht="12.75" customHeight="1" x14ac:dyDescent="0.3">
      <c r="A11" s="20" t="s">
        <v>1674</v>
      </c>
      <c r="B11" s="141"/>
      <c r="C11" s="22" t="s">
        <v>984</v>
      </c>
      <c r="D11" s="69" t="s">
        <v>92</v>
      </c>
      <c r="E11" s="22" t="s">
        <v>1988</v>
      </c>
      <c r="F11" s="69" t="s">
        <v>51</v>
      </c>
      <c r="G11" s="69" t="s">
        <v>1517</v>
      </c>
      <c r="H11" s="66" t="s">
        <v>987</v>
      </c>
      <c r="I11" s="66" t="s">
        <v>66</v>
      </c>
      <c r="J11" s="294">
        <v>20054269001364</v>
      </c>
      <c r="K11" s="30" t="s">
        <v>148</v>
      </c>
      <c r="L11" s="29" t="s">
        <v>325</v>
      </c>
      <c r="M11" s="131">
        <v>49.99</v>
      </c>
      <c r="N11" s="37">
        <v>1</v>
      </c>
      <c r="O11" s="228">
        <v>4</v>
      </c>
      <c r="P11" s="35">
        <v>3.5</v>
      </c>
      <c r="Q11" s="35">
        <v>9</v>
      </c>
      <c r="R11" s="35">
        <v>9</v>
      </c>
      <c r="S11" s="72">
        <v>9</v>
      </c>
      <c r="T11" s="35">
        <v>3.5</v>
      </c>
      <c r="U11" s="35">
        <v>9.75</v>
      </c>
      <c r="V11" s="35">
        <v>9.75</v>
      </c>
      <c r="W11" s="72">
        <v>9.75</v>
      </c>
      <c r="X11" s="46" t="s">
        <v>66</v>
      </c>
      <c r="Y11" s="35" t="s">
        <v>66</v>
      </c>
      <c r="Z11" s="35" t="s">
        <v>66</v>
      </c>
      <c r="AA11" s="72" t="s">
        <v>66</v>
      </c>
      <c r="AB11" s="46">
        <f t="shared" si="5"/>
        <v>16.534669663865817</v>
      </c>
      <c r="AC11" s="35">
        <f t="shared" si="6"/>
        <v>20.078740157480315</v>
      </c>
      <c r="AD11" s="35">
        <f t="shared" si="4"/>
        <v>20.078740157480315</v>
      </c>
      <c r="AE11" s="35">
        <f t="shared" si="7"/>
        <v>10.433070866141732</v>
      </c>
      <c r="AF11" s="44">
        <f>AC11*AD11*AE11/(12^3)</f>
        <v>2.4341163757786828</v>
      </c>
      <c r="AG11" s="39" t="s">
        <v>2007</v>
      </c>
      <c r="AH11" s="39" t="s">
        <v>2008</v>
      </c>
      <c r="AI11" s="39" t="s">
        <v>2016</v>
      </c>
      <c r="AJ11" s="39" t="s">
        <v>2010</v>
      </c>
      <c r="AK11" s="39" t="s">
        <v>2011</v>
      </c>
      <c r="AL11" s="39" t="s">
        <v>2012</v>
      </c>
      <c r="AM11" s="39" t="s">
        <v>2013</v>
      </c>
      <c r="AN11" s="490" t="s">
        <v>2018</v>
      </c>
      <c r="AO11" s="39" t="s">
        <v>2019</v>
      </c>
      <c r="AP11" s="20" t="s">
        <v>2015</v>
      </c>
      <c r="AQ11" s="20"/>
    </row>
    <row r="12" spans="1:43" s="348" customFormat="1" ht="12.75" customHeight="1" x14ac:dyDescent="0.3">
      <c r="A12" s="213" t="s">
        <v>2003</v>
      </c>
      <c r="B12" s="141"/>
      <c r="C12" s="343"/>
      <c r="D12" s="344"/>
      <c r="E12" s="343"/>
      <c r="F12" s="344"/>
      <c r="G12" s="344"/>
      <c r="H12" s="463"/>
      <c r="I12" s="463"/>
      <c r="J12" s="463"/>
      <c r="K12" s="345"/>
      <c r="L12" s="346"/>
      <c r="M12" s="347"/>
      <c r="N12" s="318"/>
      <c r="O12" s="319"/>
      <c r="P12" s="321"/>
      <c r="Q12" s="321"/>
      <c r="R12" s="321"/>
      <c r="S12" s="322"/>
      <c r="T12" s="326"/>
      <c r="U12" s="326"/>
      <c r="V12" s="326"/>
      <c r="W12" s="327"/>
      <c r="X12" s="466"/>
      <c r="Y12" s="326"/>
      <c r="Z12" s="326"/>
      <c r="AA12" s="327"/>
      <c r="AB12" s="466"/>
      <c r="AC12" s="326"/>
      <c r="AD12" s="326"/>
      <c r="AE12" s="327"/>
      <c r="AF12" s="44"/>
      <c r="AG12" s="343"/>
      <c r="AH12" s="343"/>
      <c r="AI12" s="343"/>
      <c r="AJ12" s="343"/>
      <c r="AK12" s="343"/>
      <c r="AL12" s="343"/>
      <c r="AM12" s="343"/>
      <c r="AN12" s="343"/>
      <c r="AO12" s="343"/>
    </row>
    <row r="13" spans="1:43" s="16" customFormat="1" ht="12.75" customHeight="1" x14ac:dyDescent="0.3">
      <c r="A13" s="20" t="s">
        <v>1674</v>
      </c>
      <c r="B13" s="141"/>
      <c r="C13" s="125" t="s">
        <v>989</v>
      </c>
      <c r="D13" s="69" t="s">
        <v>988</v>
      </c>
      <c r="E13" s="69" t="s">
        <v>1991</v>
      </c>
      <c r="F13" s="21" t="s">
        <v>1989</v>
      </c>
      <c r="G13" s="69" t="s">
        <v>1517</v>
      </c>
      <c r="H13" s="120" t="s">
        <v>900</v>
      </c>
      <c r="I13" s="66" t="s">
        <v>66</v>
      </c>
      <c r="J13" s="66" t="s">
        <v>66</v>
      </c>
      <c r="K13" s="30" t="s">
        <v>148</v>
      </c>
      <c r="L13" s="29" t="s">
        <v>325</v>
      </c>
      <c r="M13" s="7">
        <v>34.99</v>
      </c>
      <c r="N13" s="37">
        <v>1</v>
      </c>
      <c r="O13" s="228">
        <v>4</v>
      </c>
      <c r="P13" s="35">
        <v>2.5</v>
      </c>
      <c r="Q13" s="35">
        <v>8</v>
      </c>
      <c r="R13" s="35">
        <v>8</v>
      </c>
      <c r="S13" s="72">
        <v>8</v>
      </c>
      <c r="T13" s="35">
        <f t="shared" ref="T13:T14" si="8">49.1/16</f>
        <v>3.0687500000000001</v>
      </c>
      <c r="U13" s="35">
        <v>9</v>
      </c>
      <c r="V13" s="35">
        <v>9</v>
      </c>
      <c r="W13" s="72">
        <v>8.5</v>
      </c>
      <c r="X13" s="46" t="s">
        <v>66</v>
      </c>
      <c r="Y13" s="35" t="s">
        <v>66</v>
      </c>
      <c r="Z13" s="35" t="s">
        <v>66</v>
      </c>
      <c r="AA13" s="72" t="s">
        <v>66</v>
      </c>
      <c r="AB13" s="46">
        <f>CONVERT(6600,"g","lbm")</f>
        <v>14.55050930420192</v>
      </c>
      <c r="AC13" s="35">
        <f t="shared" ref="AC13:AD14" si="9">CONVERT(0.455,"m","in")</f>
        <v>17.913385826771652</v>
      </c>
      <c r="AD13" s="35">
        <f t="shared" si="9"/>
        <v>17.913385826771652</v>
      </c>
      <c r="AE13" s="72">
        <f t="shared" ref="AE13:AE14" si="10">CONVERT(0.235,"m","in")</f>
        <v>9.2519685039370074</v>
      </c>
      <c r="AF13" s="44">
        <f>AC13*AD13*AE13/(12^3)</f>
        <v>1.7180894363338008</v>
      </c>
      <c r="AG13" s="39" t="s">
        <v>2007</v>
      </c>
      <c r="AH13" s="39" t="s">
        <v>2008</v>
      </c>
      <c r="AI13" s="39" t="s">
        <v>2009</v>
      </c>
      <c r="AJ13" s="39" t="s">
        <v>2010</v>
      </c>
      <c r="AK13" s="39" t="s">
        <v>2011</v>
      </c>
      <c r="AL13" s="39" t="s">
        <v>2012</v>
      </c>
      <c r="AM13" s="39" t="s">
        <v>2013</v>
      </c>
      <c r="AN13" s="490" t="s">
        <v>2017</v>
      </c>
      <c r="AO13" s="39" t="s">
        <v>2014</v>
      </c>
      <c r="AP13" s="20" t="s">
        <v>2015</v>
      </c>
      <c r="AQ13" s="20"/>
    </row>
    <row r="14" spans="1:43" s="16" customFormat="1" ht="12.75" customHeight="1" x14ac:dyDescent="0.3">
      <c r="A14" s="20" t="s">
        <v>1674</v>
      </c>
      <c r="B14" s="141"/>
      <c r="C14" s="125" t="s">
        <v>989</v>
      </c>
      <c r="D14" s="69" t="s">
        <v>951</v>
      </c>
      <c r="E14" s="69" t="s">
        <v>1991</v>
      </c>
      <c r="F14" s="21" t="s">
        <v>1990</v>
      </c>
      <c r="G14" s="69" t="s">
        <v>1517</v>
      </c>
      <c r="H14" s="66" t="s">
        <v>950</v>
      </c>
      <c r="I14" s="66" t="s">
        <v>66</v>
      </c>
      <c r="J14" s="66" t="s">
        <v>66</v>
      </c>
      <c r="K14" s="30" t="s">
        <v>148</v>
      </c>
      <c r="L14" s="29" t="s">
        <v>325</v>
      </c>
      <c r="M14" s="7">
        <v>34.99</v>
      </c>
      <c r="N14" s="37">
        <v>1</v>
      </c>
      <c r="O14" s="228">
        <v>4</v>
      </c>
      <c r="P14" s="35">
        <v>2.5</v>
      </c>
      <c r="Q14" s="35">
        <v>8</v>
      </c>
      <c r="R14" s="35">
        <v>8</v>
      </c>
      <c r="S14" s="72">
        <v>8</v>
      </c>
      <c r="T14" s="35">
        <f t="shared" si="8"/>
        <v>3.0687500000000001</v>
      </c>
      <c r="U14" s="35">
        <v>9</v>
      </c>
      <c r="V14" s="35">
        <v>9</v>
      </c>
      <c r="W14" s="72">
        <v>8.5</v>
      </c>
      <c r="X14" s="46" t="s">
        <v>66</v>
      </c>
      <c r="Y14" s="35" t="s">
        <v>66</v>
      </c>
      <c r="Z14" s="35" t="s">
        <v>66</v>
      </c>
      <c r="AA14" s="72" t="s">
        <v>66</v>
      </c>
      <c r="AB14" s="46">
        <f>CONVERT(6600,"g","lbm")</f>
        <v>14.55050930420192</v>
      </c>
      <c r="AC14" s="35">
        <f t="shared" si="9"/>
        <v>17.913385826771652</v>
      </c>
      <c r="AD14" s="35">
        <f t="shared" si="9"/>
        <v>17.913385826771652</v>
      </c>
      <c r="AE14" s="72">
        <f t="shared" si="10"/>
        <v>9.2519685039370074</v>
      </c>
      <c r="AF14" s="44">
        <f>AC14*AD14*AE14/(12^3)</f>
        <v>1.7180894363338008</v>
      </c>
      <c r="AG14" s="39" t="s">
        <v>2007</v>
      </c>
      <c r="AH14" s="39" t="s">
        <v>2008</v>
      </c>
      <c r="AI14" s="39" t="s">
        <v>2009</v>
      </c>
      <c r="AJ14" s="39" t="s">
        <v>2010</v>
      </c>
      <c r="AK14" s="39" t="s">
        <v>2011</v>
      </c>
      <c r="AL14" s="39" t="s">
        <v>2012</v>
      </c>
      <c r="AM14" s="39" t="s">
        <v>2013</v>
      </c>
      <c r="AN14" s="490" t="s">
        <v>2017</v>
      </c>
      <c r="AO14" s="39" t="s">
        <v>2014</v>
      </c>
      <c r="AP14" s="20" t="s">
        <v>2015</v>
      </c>
      <c r="AQ14" s="20"/>
    </row>
    <row r="15" spans="1:43" s="348" customFormat="1" ht="12.75" customHeight="1" x14ac:dyDescent="0.3">
      <c r="A15" s="213" t="s">
        <v>2004</v>
      </c>
      <c r="B15" s="141"/>
      <c r="C15" s="349"/>
      <c r="D15" s="344"/>
      <c r="E15" s="69"/>
      <c r="F15" s="344"/>
      <c r="G15" s="344"/>
      <c r="H15" s="463"/>
      <c r="I15" s="463"/>
      <c r="J15" s="463"/>
      <c r="K15" s="345"/>
      <c r="L15" s="346"/>
      <c r="M15" s="347"/>
      <c r="N15" s="318"/>
      <c r="O15" s="319"/>
      <c r="P15" s="321"/>
      <c r="Q15" s="321"/>
      <c r="R15" s="321"/>
      <c r="S15" s="322"/>
      <c r="T15" s="326"/>
      <c r="U15" s="326"/>
      <c r="V15" s="326"/>
      <c r="W15" s="327"/>
      <c r="X15" s="466"/>
      <c r="Y15" s="326"/>
      <c r="Z15" s="326"/>
      <c r="AA15" s="327"/>
      <c r="AB15" s="466"/>
      <c r="AC15" s="326"/>
      <c r="AD15" s="326"/>
      <c r="AE15" s="327"/>
      <c r="AF15" s="44"/>
      <c r="AG15" s="343"/>
      <c r="AH15" s="343"/>
      <c r="AI15" s="343"/>
      <c r="AJ15" s="343"/>
      <c r="AK15" s="343"/>
      <c r="AL15" s="343"/>
      <c r="AM15" s="343"/>
      <c r="AN15" s="343"/>
      <c r="AO15" s="343"/>
    </row>
    <row r="16" spans="1:43" s="16" customFormat="1" ht="12.75" customHeight="1" x14ac:dyDescent="0.3">
      <c r="A16" s="20" t="s">
        <v>1674</v>
      </c>
      <c r="B16" s="141"/>
      <c r="C16" s="125" t="s">
        <v>990</v>
      </c>
      <c r="D16" s="69" t="s">
        <v>785</v>
      </c>
      <c r="E16" s="69" t="s">
        <v>1992</v>
      </c>
      <c r="F16" s="69" t="s">
        <v>881</v>
      </c>
      <c r="G16" s="69" t="s">
        <v>1517</v>
      </c>
      <c r="H16" s="66" t="s">
        <v>986</v>
      </c>
      <c r="I16" s="66" t="s">
        <v>66</v>
      </c>
      <c r="J16" s="66" t="s">
        <v>66</v>
      </c>
      <c r="K16" s="30" t="s">
        <v>148</v>
      </c>
      <c r="L16" s="29" t="s">
        <v>325</v>
      </c>
      <c r="M16" s="7">
        <v>49.99</v>
      </c>
      <c r="N16" s="37">
        <v>1</v>
      </c>
      <c r="O16" s="228">
        <v>4</v>
      </c>
      <c r="P16" s="35">
        <v>3.5</v>
      </c>
      <c r="Q16" s="35">
        <v>9</v>
      </c>
      <c r="R16" s="35">
        <v>9</v>
      </c>
      <c r="S16" s="72">
        <v>9</v>
      </c>
      <c r="T16" s="35">
        <v>3.5</v>
      </c>
      <c r="U16" s="35">
        <v>9.75</v>
      </c>
      <c r="V16" s="35">
        <v>9.75</v>
      </c>
      <c r="W16" s="72">
        <v>9.75</v>
      </c>
      <c r="X16" s="46" t="s">
        <v>66</v>
      </c>
      <c r="Y16" s="35" t="s">
        <v>66</v>
      </c>
      <c r="Z16" s="35" t="s">
        <v>66</v>
      </c>
      <c r="AA16" s="72" t="s">
        <v>66</v>
      </c>
      <c r="AB16" s="46">
        <f>CONVERT(7.7,"kg","lbm")</f>
        <v>16.975594188235572</v>
      </c>
      <c r="AC16" s="35">
        <f t="shared" ref="AC16:AD17" si="11">CONVERT(51,"cm","in")</f>
        <v>20.078740157480315</v>
      </c>
      <c r="AD16" s="35">
        <f t="shared" si="11"/>
        <v>20.078740157480315</v>
      </c>
      <c r="AE16" s="35">
        <f t="shared" ref="AE16:AE17" si="12">CONVERT(26.5,"cm","in")</f>
        <v>10.433070866141732</v>
      </c>
      <c r="AF16" s="44">
        <f>AC16*AD16*AE16/(12^3)</f>
        <v>2.4341163757786828</v>
      </c>
      <c r="AG16" s="39" t="s">
        <v>2007</v>
      </c>
      <c r="AH16" s="39" t="s">
        <v>2008</v>
      </c>
      <c r="AI16" s="39" t="s">
        <v>2016</v>
      </c>
      <c r="AJ16" s="39" t="s">
        <v>2010</v>
      </c>
      <c r="AK16" s="39" t="s">
        <v>2011</v>
      </c>
      <c r="AL16" s="39" t="s">
        <v>2012</v>
      </c>
      <c r="AM16" s="39" t="s">
        <v>2013</v>
      </c>
      <c r="AN16" s="490" t="s">
        <v>2018</v>
      </c>
      <c r="AO16" s="39" t="s">
        <v>2019</v>
      </c>
      <c r="AP16" s="20" t="s">
        <v>2015</v>
      </c>
      <c r="AQ16" s="20"/>
    </row>
    <row r="17" spans="1:43" s="16" customFormat="1" ht="12.75" customHeight="1" x14ac:dyDescent="0.3">
      <c r="A17" s="20" t="s">
        <v>1674</v>
      </c>
      <c r="B17" s="141"/>
      <c r="C17" s="125" t="s">
        <v>990</v>
      </c>
      <c r="D17" s="69" t="s">
        <v>92</v>
      </c>
      <c r="E17" s="69" t="s">
        <v>1992</v>
      </c>
      <c r="F17" s="69" t="s">
        <v>51</v>
      </c>
      <c r="G17" s="69" t="s">
        <v>1517</v>
      </c>
      <c r="H17" s="66" t="s">
        <v>987</v>
      </c>
      <c r="I17" s="66" t="s">
        <v>66</v>
      </c>
      <c r="J17" s="66" t="s">
        <v>66</v>
      </c>
      <c r="K17" s="30" t="s">
        <v>148</v>
      </c>
      <c r="L17" s="29" t="s">
        <v>325</v>
      </c>
      <c r="M17" s="7">
        <v>49.99</v>
      </c>
      <c r="N17" s="37">
        <v>1</v>
      </c>
      <c r="O17" s="228">
        <v>4</v>
      </c>
      <c r="P17" s="35">
        <v>3.5</v>
      </c>
      <c r="Q17" s="35">
        <v>9</v>
      </c>
      <c r="R17" s="35">
        <v>9</v>
      </c>
      <c r="S17" s="72">
        <v>9</v>
      </c>
      <c r="T17" s="35">
        <v>3.5</v>
      </c>
      <c r="U17" s="35">
        <v>9.75</v>
      </c>
      <c r="V17" s="35">
        <v>9.75</v>
      </c>
      <c r="W17" s="72">
        <v>9.75</v>
      </c>
      <c r="X17" s="46" t="s">
        <v>66</v>
      </c>
      <c r="Y17" s="35" t="s">
        <v>66</v>
      </c>
      <c r="Z17" s="35" t="s">
        <v>66</v>
      </c>
      <c r="AA17" s="72" t="s">
        <v>66</v>
      </c>
      <c r="AB17" s="46">
        <f>CONVERT(7.7,"kg","lbm")</f>
        <v>16.975594188235572</v>
      </c>
      <c r="AC17" s="35">
        <f t="shared" si="11"/>
        <v>20.078740157480315</v>
      </c>
      <c r="AD17" s="35">
        <f t="shared" si="11"/>
        <v>20.078740157480315</v>
      </c>
      <c r="AE17" s="35">
        <f t="shared" si="12"/>
        <v>10.433070866141732</v>
      </c>
      <c r="AF17" s="44">
        <f>AC17*AD17*AE17/(12^3)</f>
        <v>2.4341163757786828</v>
      </c>
      <c r="AG17" s="39" t="s">
        <v>2007</v>
      </c>
      <c r="AH17" s="39" t="s">
        <v>2008</v>
      </c>
      <c r="AI17" s="39" t="s">
        <v>2016</v>
      </c>
      <c r="AJ17" s="39" t="s">
        <v>2010</v>
      </c>
      <c r="AK17" s="39" t="s">
        <v>2011</v>
      </c>
      <c r="AL17" s="39" t="s">
        <v>2012</v>
      </c>
      <c r="AM17" s="39" t="s">
        <v>2013</v>
      </c>
      <c r="AN17" s="490" t="s">
        <v>2018</v>
      </c>
      <c r="AO17" s="39" t="s">
        <v>2019</v>
      </c>
      <c r="AP17" s="20" t="s">
        <v>2015</v>
      </c>
      <c r="AQ17" s="20"/>
    </row>
    <row r="18" spans="1:43" s="104" customFormat="1" ht="15.75" customHeight="1" x14ac:dyDescent="0.3">
      <c r="A18" s="108" t="s">
        <v>292</v>
      </c>
      <c r="B18" s="141"/>
      <c r="C18" s="305"/>
      <c r="D18" s="305"/>
      <c r="E18" s="305"/>
      <c r="F18" s="305"/>
      <c r="G18" s="305"/>
      <c r="H18" s="306"/>
      <c r="I18" s="306"/>
      <c r="J18" s="306"/>
      <c r="K18" s="306"/>
      <c r="L18" s="306"/>
      <c r="M18" s="250"/>
      <c r="N18" s="251"/>
      <c r="O18" s="277"/>
      <c r="P18" s="35"/>
      <c r="Q18" s="35"/>
      <c r="R18" s="35"/>
      <c r="S18" s="72"/>
      <c r="T18" s="247"/>
      <c r="U18" s="247"/>
      <c r="V18" s="247"/>
      <c r="W18" s="253"/>
      <c r="X18" s="252"/>
      <c r="Y18" s="247"/>
      <c r="Z18" s="247"/>
      <c r="AA18" s="253"/>
      <c r="AB18" s="252"/>
      <c r="AC18" s="247"/>
      <c r="AD18" s="247"/>
      <c r="AE18" s="253"/>
      <c r="AF18" s="252"/>
      <c r="AG18" s="305"/>
      <c r="AH18" s="257"/>
      <c r="AI18" s="257"/>
      <c r="AO18" s="257"/>
      <c r="AQ18" s="307"/>
    </row>
    <row r="19" spans="1:43" s="342" customFormat="1" ht="12.75" customHeight="1" x14ac:dyDescent="0.25">
      <c r="A19" s="213" t="s">
        <v>2000</v>
      </c>
      <c r="B19" s="141"/>
      <c r="C19" s="338"/>
      <c r="D19" s="338"/>
      <c r="E19" s="338"/>
      <c r="F19" s="338"/>
      <c r="G19" s="338"/>
      <c r="H19" s="339"/>
      <c r="I19" s="339"/>
      <c r="J19" s="339"/>
      <c r="K19" s="339"/>
      <c r="L19" s="339"/>
      <c r="M19" s="341"/>
      <c r="N19" s="316"/>
      <c r="O19" s="317"/>
      <c r="P19" s="35"/>
      <c r="Q19" s="35"/>
      <c r="R19" s="35"/>
      <c r="S19" s="72"/>
      <c r="T19" s="324"/>
      <c r="U19" s="324"/>
      <c r="V19" s="324"/>
      <c r="W19" s="325"/>
      <c r="X19" s="465"/>
      <c r="Y19" s="324"/>
      <c r="Z19" s="324"/>
      <c r="AA19" s="325"/>
      <c r="AB19" s="465"/>
      <c r="AC19" s="324"/>
      <c r="AD19" s="324"/>
      <c r="AE19" s="325"/>
      <c r="AF19" s="465"/>
      <c r="AG19" s="338"/>
      <c r="AH19" s="320"/>
      <c r="AI19" s="320"/>
      <c r="AO19" s="320"/>
      <c r="AQ19" s="350"/>
    </row>
    <row r="20" spans="1:43" s="16" customFormat="1" ht="12.75" customHeight="1" x14ac:dyDescent="0.3">
      <c r="A20" s="410" t="s">
        <v>1674</v>
      </c>
      <c r="B20" s="411"/>
      <c r="C20" s="424" t="s">
        <v>293</v>
      </c>
      <c r="D20" s="424" t="s">
        <v>88</v>
      </c>
      <c r="E20" s="424" t="s">
        <v>2005</v>
      </c>
      <c r="F20" s="424" t="s">
        <v>49</v>
      </c>
      <c r="G20" s="424" t="s">
        <v>1518</v>
      </c>
      <c r="H20" s="425" t="s">
        <v>302</v>
      </c>
      <c r="I20" s="520" t="s">
        <v>66</v>
      </c>
      <c r="J20" s="520" t="s">
        <v>66</v>
      </c>
      <c r="K20" s="425" t="s">
        <v>148</v>
      </c>
      <c r="L20" s="415" t="s">
        <v>325</v>
      </c>
      <c r="M20" s="416">
        <v>9.99</v>
      </c>
      <c r="N20" s="417">
        <v>1</v>
      </c>
      <c r="O20" s="418">
        <v>72</v>
      </c>
      <c r="P20" s="412">
        <f>CONVERT(240,"g","lbm")</f>
        <v>0.52910942924370619</v>
      </c>
      <c r="Q20" s="412">
        <v>12.5</v>
      </c>
      <c r="R20" s="412">
        <v>12.5</v>
      </c>
      <c r="S20" s="420">
        <v>12.5</v>
      </c>
      <c r="T20" s="412">
        <v>0.65</v>
      </c>
      <c r="U20" s="412">
        <v>6.25</v>
      </c>
      <c r="V20" s="412">
        <v>1.75</v>
      </c>
      <c r="W20" s="420">
        <v>7.75</v>
      </c>
      <c r="X20" s="419" t="s">
        <v>66</v>
      </c>
      <c r="Y20" s="412" t="s">
        <v>66</v>
      </c>
      <c r="Z20" s="412" t="s">
        <v>66</v>
      </c>
      <c r="AA20" s="420" t="s">
        <v>66</v>
      </c>
      <c r="AB20" s="419">
        <f>0.65*72</f>
        <v>46.800000000000004</v>
      </c>
      <c r="AC20" s="412">
        <v>20</v>
      </c>
      <c r="AD20" s="412">
        <v>20</v>
      </c>
      <c r="AE20" s="420">
        <v>14.5</v>
      </c>
      <c r="AF20" s="419">
        <f>AC20*AD20*AE20/(12^3)</f>
        <v>3.3564814814814814</v>
      </c>
      <c r="AG20" s="424" t="s">
        <v>2020</v>
      </c>
      <c r="AH20" s="421" t="s">
        <v>2022</v>
      </c>
      <c r="AI20" s="421" t="s">
        <v>2021</v>
      </c>
      <c r="AJ20" s="410" t="s">
        <v>2023</v>
      </c>
      <c r="AK20" s="410" t="s">
        <v>2024</v>
      </c>
      <c r="AL20" s="410" t="s">
        <v>856</v>
      </c>
      <c r="AM20" s="410"/>
      <c r="AN20" s="410"/>
      <c r="AO20" s="421" t="s">
        <v>2025</v>
      </c>
      <c r="AP20" s="410" t="s">
        <v>2015</v>
      </c>
      <c r="AQ20" s="521"/>
    </row>
    <row r="21" spans="1:43" s="16" customFormat="1" ht="12.75" customHeight="1" x14ac:dyDescent="0.3">
      <c r="A21" s="410" t="s">
        <v>1674</v>
      </c>
      <c r="B21" s="411"/>
      <c r="C21" s="424" t="s">
        <v>293</v>
      </c>
      <c r="D21" s="424" t="s">
        <v>89</v>
      </c>
      <c r="E21" s="424" t="s">
        <v>2005</v>
      </c>
      <c r="F21" s="424" t="s">
        <v>50</v>
      </c>
      <c r="G21" s="424" t="s">
        <v>1518</v>
      </c>
      <c r="H21" s="425" t="s">
        <v>303</v>
      </c>
      <c r="I21" s="520" t="s">
        <v>66</v>
      </c>
      <c r="J21" s="520" t="s">
        <v>66</v>
      </c>
      <c r="K21" s="425" t="s">
        <v>148</v>
      </c>
      <c r="L21" s="415" t="s">
        <v>325</v>
      </c>
      <c r="M21" s="416">
        <v>9.99</v>
      </c>
      <c r="N21" s="417">
        <v>1</v>
      </c>
      <c r="O21" s="418">
        <v>72</v>
      </c>
      <c r="P21" s="412">
        <f>CONVERT(240,"g","lbm")</f>
        <v>0.52910942924370619</v>
      </c>
      <c r="Q21" s="412">
        <v>12.5</v>
      </c>
      <c r="R21" s="412">
        <v>12.5</v>
      </c>
      <c r="S21" s="420">
        <v>12.5</v>
      </c>
      <c r="T21" s="412">
        <v>0.65</v>
      </c>
      <c r="U21" s="412">
        <v>6.25</v>
      </c>
      <c r="V21" s="412">
        <v>1.75</v>
      </c>
      <c r="W21" s="420">
        <v>7.75</v>
      </c>
      <c r="X21" s="419" t="s">
        <v>66</v>
      </c>
      <c r="Y21" s="412" t="s">
        <v>66</v>
      </c>
      <c r="Z21" s="412" t="s">
        <v>66</v>
      </c>
      <c r="AA21" s="420" t="s">
        <v>66</v>
      </c>
      <c r="AB21" s="419">
        <f>0.65*72</f>
        <v>46.800000000000004</v>
      </c>
      <c r="AC21" s="412">
        <v>20</v>
      </c>
      <c r="AD21" s="412">
        <v>20</v>
      </c>
      <c r="AE21" s="420">
        <v>14.5</v>
      </c>
      <c r="AF21" s="419">
        <f>AC21*AD21*AE21/(12^3)</f>
        <v>3.3564814814814814</v>
      </c>
      <c r="AG21" s="424" t="s">
        <v>2020</v>
      </c>
      <c r="AH21" s="421" t="s">
        <v>2022</v>
      </c>
      <c r="AI21" s="421" t="s">
        <v>2021</v>
      </c>
      <c r="AJ21" s="410" t="s">
        <v>2023</v>
      </c>
      <c r="AK21" s="410" t="s">
        <v>2024</v>
      </c>
      <c r="AL21" s="410" t="s">
        <v>856</v>
      </c>
      <c r="AM21" s="410"/>
      <c r="AN21" s="410"/>
      <c r="AO21" s="421" t="s">
        <v>2025</v>
      </c>
      <c r="AP21" s="410" t="s">
        <v>2015</v>
      </c>
      <c r="AQ21" s="521"/>
    </row>
    <row r="22" spans="1:43" s="16" customFormat="1" ht="12.75" customHeight="1" x14ac:dyDescent="0.3">
      <c r="A22" s="410" t="s">
        <v>1674</v>
      </c>
      <c r="B22" s="411"/>
      <c r="C22" s="424" t="s">
        <v>293</v>
      </c>
      <c r="D22" s="424" t="s">
        <v>91</v>
      </c>
      <c r="E22" s="424" t="s">
        <v>2005</v>
      </c>
      <c r="F22" s="424" t="s">
        <v>52</v>
      </c>
      <c r="G22" s="424" t="s">
        <v>1518</v>
      </c>
      <c r="H22" s="425" t="s">
        <v>304</v>
      </c>
      <c r="I22" s="520" t="s">
        <v>66</v>
      </c>
      <c r="J22" s="520" t="s">
        <v>66</v>
      </c>
      <c r="K22" s="425" t="s">
        <v>148</v>
      </c>
      <c r="L22" s="415" t="s">
        <v>325</v>
      </c>
      <c r="M22" s="416">
        <v>9.99</v>
      </c>
      <c r="N22" s="417">
        <v>1</v>
      </c>
      <c r="O22" s="418">
        <v>72</v>
      </c>
      <c r="P22" s="412">
        <f>CONVERT(240,"g","lbm")</f>
        <v>0.52910942924370619</v>
      </c>
      <c r="Q22" s="412">
        <v>12.5</v>
      </c>
      <c r="R22" s="412">
        <v>12.5</v>
      </c>
      <c r="S22" s="420">
        <v>12.5</v>
      </c>
      <c r="T22" s="412">
        <v>0.65</v>
      </c>
      <c r="U22" s="412">
        <v>6.25</v>
      </c>
      <c r="V22" s="412">
        <v>1.75</v>
      </c>
      <c r="W22" s="420">
        <v>7.75</v>
      </c>
      <c r="X22" s="419" t="s">
        <v>66</v>
      </c>
      <c r="Y22" s="412" t="s">
        <v>66</v>
      </c>
      <c r="Z22" s="412" t="s">
        <v>66</v>
      </c>
      <c r="AA22" s="420" t="s">
        <v>66</v>
      </c>
      <c r="AB22" s="419">
        <f>0.65*72</f>
        <v>46.800000000000004</v>
      </c>
      <c r="AC22" s="412">
        <v>20</v>
      </c>
      <c r="AD22" s="412">
        <v>20</v>
      </c>
      <c r="AE22" s="420">
        <v>14.5</v>
      </c>
      <c r="AF22" s="419">
        <f>AC22*AD22*AE22/(12^3)</f>
        <v>3.3564814814814814</v>
      </c>
      <c r="AG22" s="424" t="s">
        <v>2020</v>
      </c>
      <c r="AH22" s="421" t="s">
        <v>2022</v>
      </c>
      <c r="AI22" s="421" t="s">
        <v>2021</v>
      </c>
      <c r="AJ22" s="410" t="s">
        <v>2023</v>
      </c>
      <c r="AK22" s="410" t="s">
        <v>2024</v>
      </c>
      <c r="AL22" s="410" t="s">
        <v>856</v>
      </c>
      <c r="AM22" s="410"/>
      <c r="AN22" s="410"/>
      <c r="AO22" s="421" t="s">
        <v>2025</v>
      </c>
      <c r="AP22" s="410" t="s">
        <v>2015</v>
      </c>
      <c r="AQ22" s="521"/>
    </row>
    <row r="23" spans="1:43" s="342" customFormat="1" ht="12.75" customHeight="1" x14ac:dyDescent="0.3">
      <c r="A23" s="213" t="s">
        <v>2001</v>
      </c>
      <c r="B23" s="368"/>
      <c r="C23" s="338"/>
      <c r="D23" s="338"/>
      <c r="E23" s="338"/>
      <c r="F23" s="338"/>
      <c r="G23" s="21"/>
      <c r="H23" s="339"/>
      <c r="I23" s="339"/>
      <c r="J23" s="339"/>
      <c r="K23" s="339"/>
      <c r="L23" s="339"/>
      <c r="M23" s="341"/>
      <c r="N23" s="316"/>
      <c r="O23" s="317"/>
      <c r="P23" s="35"/>
      <c r="Q23" s="35"/>
      <c r="R23" s="35"/>
      <c r="S23" s="72"/>
      <c r="T23" s="324"/>
      <c r="U23" s="324"/>
      <c r="V23" s="324"/>
      <c r="W23" s="325"/>
      <c r="X23" s="465"/>
      <c r="Y23" s="324"/>
      <c r="Z23" s="324"/>
      <c r="AA23" s="325"/>
      <c r="AB23" s="465"/>
      <c r="AC23" s="324"/>
      <c r="AD23" s="324"/>
      <c r="AE23" s="325"/>
      <c r="AF23" s="44"/>
      <c r="AG23" s="338"/>
      <c r="AH23" s="320"/>
      <c r="AI23" s="320"/>
      <c r="AO23" s="320"/>
      <c r="AQ23" s="350"/>
    </row>
    <row r="24" spans="1:43" s="16" customFormat="1" ht="12.75" customHeight="1" x14ac:dyDescent="0.3">
      <c r="A24" s="410" t="s">
        <v>1674</v>
      </c>
      <c r="B24" s="522"/>
      <c r="C24" s="424" t="s">
        <v>294</v>
      </c>
      <c r="D24" s="424" t="s">
        <v>88</v>
      </c>
      <c r="E24" s="424" t="s">
        <v>2006</v>
      </c>
      <c r="F24" s="424" t="s">
        <v>49</v>
      </c>
      <c r="G24" s="424" t="s">
        <v>1518</v>
      </c>
      <c r="H24" s="425" t="s">
        <v>305</v>
      </c>
      <c r="I24" s="520" t="s">
        <v>66</v>
      </c>
      <c r="J24" s="520" t="s">
        <v>66</v>
      </c>
      <c r="K24" s="425" t="s">
        <v>148</v>
      </c>
      <c r="L24" s="415" t="s">
        <v>325</v>
      </c>
      <c r="M24" s="416">
        <v>12.99</v>
      </c>
      <c r="N24" s="417">
        <v>1</v>
      </c>
      <c r="O24" s="418">
        <v>46</v>
      </c>
      <c r="P24" s="412">
        <f>CONVERT(380,"g","lbm")</f>
        <v>0.83775659630253474</v>
      </c>
      <c r="Q24" s="412">
        <v>20</v>
      </c>
      <c r="R24" s="412">
        <v>20</v>
      </c>
      <c r="S24" s="420">
        <v>20</v>
      </c>
      <c r="T24" s="412">
        <f>15.2/16</f>
        <v>0.95</v>
      </c>
      <c r="U24" s="412">
        <v>5</v>
      </c>
      <c r="V24" s="412">
        <v>2.75</v>
      </c>
      <c r="W24" s="420">
        <v>10.75</v>
      </c>
      <c r="X24" s="419" t="s">
        <v>66</v>
      </c>
      <c r="Y24" s="412" t="s">
        <v>66</v>
      </c>
      <c r="Z24" s="412" t="s">
        <v>66</v>
      </c>
      <c r="AA24" s="420" t="s">
        <v>66</v>
      </c>
      <c r="AB24" s="419">
        <f>0.95*46</f>
        <v>43.699999999999996</v>
      </c>
      <c r="AC24" s="412">
        <v>20</v>
      </c>
      <c r="AD24" s="412">
        <v>20</v>
      </c>
      <c r="AE24" s="420">
        <v>14.5</v>
      </c>
      <c r="AF24" s="419">
        <f t="shared" ref="AF24:AF25" si="13">AC24*AD24*AE24/(12^3)</f>
        <v>3.3564814814814814</v>
      </c>
      <c r="AG24" s="424" t="s">
        <v>2020</v>
      </c>
      <c r="AH24" s="421" t="s">
        <v>2022</v>
      </c>
      <c r="AI24" s="421" t="s">
        <v>2021</v>
      </c>
      <c r="AJ24" s="410" t="s">
        <v>2023</v>
      </c>
      <c r="AK24" s="410" t="s">
        <v>2024</v>
      </c>
      <c r="AL24" s="410" t="s">
        <v>2026</v>
      </c>
      <c r="AM24" s="410"/>
      <c r="AN24" s="410"/>
      <c r="AO24" s="421" t="s">
        <v>2027</v>
      </c>
      <c r="AP24" s="410" t="s">
        <v>2015</v>
      </c>
      <c r="AQ24" s="521"/>
    </row>
    <row r="25" spans="1:43" s="16" customFormat="1" ht="12.75" customHeight="1" x14ac:dyDescent="0.3">
      <c r="A25" s="410" t="s">
        <v>1674</v>
      </c>
      <c r="B25" s="411"/>
      <c r="C25" s="424" t="s">
        <v>294</v>
      </c>
      <c r="D25" s="424" t="s">
        <v>413</v>
      </c>
      <c r="E25" s="424" t="s">
        <v>2006</v>
      </c>
      <c r="F25" s="424" t="s">
        <v>187</v>
      </c>
      <c r="G25" s="424" t="s">
        <v>1518</v>
      </c>
      <c r="H25" s="425" t="s">
        <v>414</v>
      </c>
      <c r="I25" s="520" t="s">
        <v>66</v>
      </c>
      <c r="J25" s="520" t="s">
        <v>66</v>
      </c>
      <c r="K25" s="425" t="s">
        <v>148</v>
      </c>
      <c r="L25" s="415" t="s">
        <v>325</v>
      </c>
      <c r="M25" s="416">
        <v>12.99</v>
      </c>
      <c r="N25" s="417">
        <v>1</v>
      </c>
      <c r="O25" s="418">
        <v>46</v>
      </c>
      <c r="P25" s="412">
        <f>CONVERT(380,"g","lbm")</f>
        <v>0.83775659630253474</v>
      </c>
      <c r="Q25" s="412">
        <v>20</v>
      </c>
      <c r="R25" s="412">
        <v>20</v>
      </c>
      <c r="S25" s="420">
        <v>20</v>
      </c>
      <c r="T25" s="412">
        <f>15.2/16</f>
        <v>0.95</v>
      </c>
      <c r="U25" s="412">
        <v>5</v>
      </c>
      <c r="V25" s="412">
        <v>2.75</v>
      </c>
      <c r="W25" s="420">
        <v>10.75</v>
      </c>
      <c r="X25" s="419" t="s">
        <v>66</v>
      </c>
      <c r="Y25" s="412" t="s">
        <v>66</v>
      </c>
      <c r="Z25" s="412" t="s">
        <v>66</v>
      </c>
      <c r="AA25" s="420" t="s">
        <v>66</v>
      </c>
      <c r="AB25" s="419">
        <f>0.95*46</f>
        <v>43.699999999999996</v>
      </c>
      <c r="AC25" s="412">
        <v>20</v>
      </c>
      <c r="AD25" s="412">
        <v>20</v>
      </c>
      <c r="AE25" s="420">
        <v>14.5</v>
      </c>
      <c r="AF25" s="419">
        <f t="shared" si="13"/>
        <v>3.3564814814814814</v>
      </c>
      <c r="AG25" s="424" t="s">
        <v>2020</v>
      </c>
      <c r="AH25" s="421" t="s">
        <v>2022</v>
      </c>
      <c r="AI25" s="421" t="s">
        <v>2021</v>
      </c>
      <c r="AJ25" s="410" t="s">
        <v>2023</v>
      </c>
      <c r="AK25" s="410" t="s">
        <v>2024</v>
      </c>
      <c r="AL25" s="410" t="s">
        <v>2026</v>
      </c>
      <c r="AM25" s="410"/>
      <c r="AN25" s="410"/>
      <c r="AO25" s="421" t="s">
        <v>2027</v>
      </c>
      <c r="AP25" s="410" t="s">
        <v>2015</v>
      </c>
      <c r="AQ25" s="521"/>
    </row>
    <row r="26" spans="1:43" s="20" customFormat="1" ht="15.75" customHeight="1" x14ac:dyDescent="0.3">
      <c r="A26" s="108" t="s">
        <v>46</v>
      </c>
      <c r="B26" s="143"/>
      <c r="C26" s="21" t="s">
        <v>128</v>
      </c>
      <c r="D26" s="21"/>
      <c r="E26" s="21"/>
      <c r="H26" s="30"/>
      <c r="I26" s="30"/>
      <c r="J26" s="30"/>
      <c r="K26" s="30"/>
      <c r="L26" s="30"/>
      <c r="M26" s="7"/>
      <c r="N26" s="37"/>
      <c r="O26" s="228"/>
      <c r="P26" s="35"/>
      <c r="Q26" s="35"/>
      <c r="R26" s="35"/>
      <c r="S26" s="72"/>
      <c r="T26" s="35"/>
      <c r="U26" s="35"/>
      <c r="V26" s="35"/>
      <c r="W26" s="72"/>
      <c r="X26" s="46"/>
      <c r="Y26" s="35"/>
      <c r="Z26" s="35"/>
      <c r="AA26" s="72"/>
      <c r="AB26" s="46"/>
      <c r="AC26" s="35"/>
      <c r="AD26" s="35"/>
      <c r="AE26" s="72"/>
      <c r="AF26" s="46"/>
      <c r="AG26" s="21"/>
      <c r="AH26" s="39"/>
      <c r="AI26" s="39"/>
      <c r="AO26" s="39"/>
      <c r="AQ26" s="15"/>
    </row>
    <row r="27" spans="1:43" s="20" customFormat="1" ht="12.75" customHeight="1" x14ac:dyDescent="0.3">
      <c r="A27" s="20" t="s">
        <v>46</v>
      </c>
      <c r="C27" s="35" t="s">
        <v>129</v>
      </c>
      <c r="D27" s="35" t="s">
        <v>1628</v>
      </c>
      <c r="E27" s="42" t="s">
        <v>1629</v>
      </c>
      <c r="F27" s="20" t="s">
        <v>2032</v>
      </c>
      <c r="G27" s="20" t="s">
        <v>1518</v>
      </c>
      <c r="H27" s="57" t="s">
        <v>47</v>
      </c>
      <c r="I27" s="66" t="s">
        <v>66</v>
      </c>
      <c r="J27" s="66" t="s">
        <v>66</v>
      </c>
      <c r="K27" s="57" t="s">
        <v>363</v>
      </c>
      <c r="L27" s="57" t="s">
        <v>326</v>
      </c>
      <c r="M27" s="359">
        <v>11.99</v>
      </c>
      <c r="N27" s="37">
        <v>12</v>
      </c>
      <c r="O27" s="228">
        <v>44</v>
      </c>
      <c r="P27" s="46">
        <f>CONVERT(295,"g","lbm")</f>
        <v>0.65036367344538881</v>
      </c>
      <c r="Q27" s="35">
        <v>5</v>
      </c>
      <c r="R27" s="35">
        <v>1.25</v>
      </c>
      <c r="S27" s="72">
        <v>4.25</v>
      </c>
      <c r="T27" s="46">
        <f>CONVERT(290,"g","lbm")</f>
        <v>0.63934056033614495</v>
      </c>
      <c r="U27" s="35">
        <v>5.375</v>
      </c>
      <c r="V27" s="35">
        <v>1.5</v>
      </c>
      <c r="W27" s="72">
        <v>5.5625</v>
      </c>
      <c r="X27" s="46" t="s">
        <v>66</v>
      </c>
      <c r="Y27" s="35" t="s">
        <v>66</v>
      </c>
      <c r="Z27" s="35" t="s">
        <v>66</v>
      </c>
      <c r="AA27" s="72" t="s">
        <v>66</v>
      </c>
      <c r="AB27" s="35">
        <v>35</v>
      </c>
      <c r="AC27" s="35">
        <v>15.25</v>
      </c>
      <c r="AD27" s="35">
        <v>11.5</v>
      </c>
      <c r="AE27" s="72">
        <v>9.5</v>
      </c>
      <c r="AF27" s="35">
        <f>AC27*AD27*AE27/(12^3)</f>
        <v>0.96415653935185186</v>
      </c>
      <c r="AG27" s="20" t="s">
        <v>2033</v>
      </c>
      <c r="AH27" s="20" t="s">
        <v>2029</v>
      </c>
      <c r="AI27" s="20" t="s">
        <v>2028</v>
      </c>
      <c r="AK27" s="42" t="s">
        <v>48</v>
      </c>
      <c r="AL27" s="360" t="s">
        <v>2031</v>
      </c>
      <c r="AO27" s="22" t="s">
        <v>2030</v>
      </c>
      <c r="AP27" s="20" t="s">
        <v>2015</v>
      </c>
    </row>
    <row r="29" spans="1:43" s="22" customFormat="1" x14ac:dyDescent="0.25">
      <c r="B29" s="143"/>
      <c r="H29" s="12"/>
      <c r="I29" s="12"/>
      <c r="J29" s="12"/>
      <c r="O29" s="130"/>
      <c r="P29" s="35"/>
      <c r="Q29" s="35"/>
      <c r="R29" s="35"/>
      <c r="S29" s="72"/>
      <c r="T29" s="39"/>
      <c r="W29" s="130"/>
      <c r="X29" s="445"/>
      <c r="AA29" s="130"/>
      <c r="AB29" s="445"/>
      <c r="AE29" s="130"/>
      <c r="AF29" s="445"/>
    </row>
    <row r="30" spans="1:43" s="22" customFormat="1" x14ac:dyDescent="0.25">
      <c r="B30" s="143"/>
      <c r="H30" s="12"/>
      <c r="I30" s="12"/>
      <c r="J30" s="12"/>
      <c r="O30" s="130"/>
      <c r="P30" s="35"/>
      <c r="Q30" s="35"/>
      <c r="R30" s="35"/>
      <c r="S30" s="72"/>
      <c r="T30" s="39"/>
      <c r="W30" s="130"/>
      <c r="X30" s="445"/>
      <c r="AA30" s="130"/>
      <c r="AB30" s="445"/>
      <c r="AE30" s="130"/>
      <c r="AF30" s="445"/>
    </row>
    <row r="31" spans="1:43" s="22" customFormat="1" x14ac:dyDescent="0.25">
      <c r="B31" s="143"/>
      <c r="H31" s="12"/>
      <c r="I31" s="12"/>
      <c r="J31" s="12"/>
      <c r="O31" s="130"/>
      <c r="P31" s="35"/>
      <c r="Q31" s="35"/>
      <c r="R31" s="35"/>
      <c r="S31" s="72"/>
      <c r="T31" s="39"/>
      <c r="W31" s="130"/>
      <c r="X31" s="445"/>
      <c r="AA31" s="130"/>
      <c r="AB31" s="445"/>
      <c r="AE31" s="130"/>
      <c r="AF31" s="445"/>
    </row>
    <row r="32" spans="1:43" s="22" customFormat="1" x14ac:dyDescent="0.25">
      <c r="B32" s="143"/>
      <c r="H32" s="12"/>
      <c r="I32" s="12"/>
      <c r="J32" s="12"/>
      <c r="O32" s="130"/>
      <c r="P32" s="35"/>
      <c r="Q32" s="35"/>
      <c r="R32" s="35"/>
      <c r="S32" s="72"/>
      <c r="T32" s="39"/>
      <c r="W32" s="130"/>
      <c r="X32" s="445"/>
      <c r="AA32" s="130"/>
      <c r="AB32" s="445"/>
      <c r="AE32" s="130"/>
      <c r="AF32" s="445"/>
    </row>
    <row r="33" spans="2:32" s="22" customFormat="1" x14ac:dyDescent="0.25">
      <c r="B33" s="143"/>
      <c r="H33" s="12"/>
      <c r="I33" s="12"/>
      <c r="J33" s="12"/>
      <c r="O33" s="130"/>
      <c r="P33" s="35"/>
      <c r="Q33" s="35"/>
      <c r="R33" s="35"/>
      <c r="S33" s="72"/>
      <c r="T33" s="39"/>
      <c r="W33" s="130"/>
      <c r="X33" s="445"/>
      <c r="AA33" s="130"/>
      <c r="AB33" s="445"/>
      <c r="AE33" s="130"/>
      <c r="AF33" s="445"/>
    </row>
    <row r="34" spans="2:32" x14ac:dyDescent="0.25">
      <c r="B34" s="143"/>
      <c r="P34" s="35"/>
      <c r="Q34" s="35"/>
      <c r="R34" s="35"/>
      <c r="S34" s="72"/>
    </row>
    <row r="35" spans="2:32" x14ac:dyDescent="0.25">
      <c r="B35" s="143"/>
      <c r="P35" s="35"/>
      <c r="Q35" s="35"/>
      <c r="R35" s="35"/>
      <c r="S35" s="72"/>
    </row>
    <row r="36" spans="2:32" x14ac:dyDescent="0.25">
      <c r="B36" s="369"/>
      <c r="P36" s="35"/>
      <c r="Q36" s="35"/>
      <c r="R36" s="35"/>
      <c r="S36" s="72"/>
    </row>
    <row r="37" spans="2:32" x14ac:dyDescent="0.25">
      <c r="B37" s="143"/>
      <c r="P37" s="35"/>
      <c r="Q37" s="35"/>
      <c r="R37" s="35"/>
      <c r="S37" s="72"/>
    </row>
    <row r="38" spans="2:32" ht="15" x14ac:dyDescent="0.25">
      <c r="B38" s="143"/>
      <c r="P38" s="321"/>
      <c r="Q38" s="321"/>
      <c r="R38" s="321"/>
      <c r="S38" s="322"/>
    </row>
    <row r="39" spans="2:32" x14ac:dyDescent="0.25">
      <c r="B39" s="143"/>
      <c r="P39" s="35"/>
      <c r="Q39" s="35"/>
      <c r="R39" s="35"/>
      <c r="S39" s="72"/>
    </row>
    <row r="40" spans="2:32" x14ac:dyDescent="0.25">
      <c r="B40" s="369"/>
      <c r="P40" s="35"/>
      <c r="Q40" s="35"/>
      <c r="R40" s="35"/>
      <c r="S40" s="72"/>
    </row>
    <row r="41" spans="2:32" x14ac:dyDescent="0.25">
      <c r="B41" s="143"/>
      <c r="P41" s="35"/>
      <c r="Q41" s="35"/>
      <c r="R41" s="35"/>
      <c r="S41" s="72"/>
    </row>
    <row r="42" spans="2:32" x14ac:dyDescent="0.25">
      <c r="B42" s="369"/>
      <c r="P42" s="35"/>
      <c r="Q42" s="35"/>
      <c r="R42" s="35"/>
      <c r="S42" s="72"/>
    </row>
    <row r="43" spans="2:32" x14ac:dyDescent="0.25">
      <c r="B43" s="141"/>
      <c r="P43" s="35"/>
      <c r="Q43" s="35"/>
      <c r="R43" s="35"/>
      <c r="S43" s="72"/>
    </row>
    <row r="44" spans="2:32" x14ac:dyDescent="0.25">
      <c r="B44" s="369"/>
      <c r="P44" s="35"/>
      <c r="Q44" s="35"/>
      <c r="R44" s="35"/>
      <c r="S44" s="72"/>
    </row>
    <row r="45" spans="2:32" x14ac:dyDescent="0.25">
      <c r="B45" s="143"/>
      <c r="P45" s="35"/>
      <c r="Q45" s="35"/>
      <c r="R45" s="35"/>
      <c r="S45" s="72"/>
    </row>
    <row r="46" spans="2:32" x14ac:dyDescent="0.25">
      <c r="B46" s="141"/>
      <c r="P46" s="35"/>
      <c r="Q46" s="35"/>
      <c r="R46" s="35"/>
      <c r="S46" s="72"/>
    </row>
    <row r="47" spans="2:32" ht="15.6" x14ac:dyDescent="0.3">
      <c r="B47" s="459"/>
      <c r="P47" s="35"/>
      <c r="Q47" s="35"/>
      <c r="R47" s="35"/>
      <c r="S47" s="72"/>
    </row>
    <row r="48" spans="2:32" x14ac:dyDescent="0.25">
      <c r="B48" s="371"/>
      <c r="P48" s="35"/>
      <c r="Q48" s="35"/>
      <c r="R48" s="35"/>
      <c r="S48" s="72"/>
    </row>
    <row r="49" spans="2:19" x14ac:dyDescent="0.25">
      <c r="B49" s="371"/>
      <c r="P49" s="35"/>
      <c r="Q49" s="35"/>
      <c r="R49" s="35"/>
      <c r="S49" s="72"/>
    </row>
    <row r="50" spans="2:19" x14ac:dyDescent="0.25">
      <c r="B50" s="372"/>
      <c r="P50" s="35"/>
      <c r="Q50" s="35"/>
      <c r="R50" s="35"/>
      <c r="S50" s="72"/>
    </row>
    <row r="51" spans="2:19" ht="15.6" x14ac:dyDescent="0.3">
      <c r="B51" s="459"/>
      <c r="P51" s="35"/>
      <c r="Q51" s="35"/>
      <c r="R51" s="35"/>
      <c r="S51" s="72"/>
    </row>
    <row r="52" spans="2:19" x14ac:dyDescent="0.25">
      <c r="B52" s="143"/>
      <c r="P52" s="35"/>
      <c r="Q52" s="35"/>
      <c r="R52" s="35"/>
      <c r="S52" s="72"/>
    </row>
    <row r="53" spans="2:19" x14ac:dyDescent="0.25">
      <c r="B53" s="143"/>
      <c r="P53" s="35"/>
      <c r="Q53" s="35"/>
      <c r="R53" s="35"/>
      <c r="S53" s="72"/>
    </row>
    <row r="54" spans="2:19" x14ac:dyDescent="0.25">
      <c r="B54" s="143"/>
      <c r="P54" s="35"/>
      <c r="Q54" s="35"/>
      <c r="R54" s="35"/>
      <c r="S54" s="72"/>
    </row>
    <row r="55" spans="2:19" ht="15" x14ac:dyDescent="0.25">
      <c r="B55" s="143"/>
      <c r="P55" s="321"/>
      <c r="Q55" s="321"/>
      <c r="R55" s="321"/>
      <c r="S55" s="322"/>
    </row>
    <row r="56" spans="2:19" x14ac:dyDescent="0.25">
      <c r="B56" s="141"/>
      <c r="P56" s="35"/>
      <c r="Q56" s="35"/>
      <c r="R56" s="35"/>
      <c r="S56" s="72"/>
    </row>
    <row r="57" spans="2:19" ht="15.6" x14ac:dyDescent="0.3">
      <c r="B57" s="459"/>
      <c r="P57" s="35"/>
      <c r="Q57" s="35"/>
      <c r="R57" s="35"/>
      <c r="S57" s="72"/>
    </row>
    <row r="58" spans="2:19" x14ac:dyDescent="0.25">
      <c r="B58" s="141"/>
      <c r="P58" s="35"/>
      <c r="Q58" s="35"/>
      <c r="R58" s="35"/>
      <c r="S58" s="72"/>
    </row>
    <row r="59" spans="2:19" x14ac:dyDescent="0.25">
      <c r="B59" s="141"/>
      <c r="P59" s="35"/>
      <c r="Q59" s="35"/>
      <c r="R59" s="35"/>
      <c r="S59" s="72"/>
    </row>
    <row r="60" spans="2:19" x14ac:dyDescent="0.25">
      <c r="B60" s="141"/>
      <c r="P60" s="35"/>
      <c r="Q60" s="35"/>
      <c r="R60" s="35"/>
      <c r="S60" s="72"/>
    </row>
    <row r="61" spans="2:19" x14ac:dyDescent="0.25">
      <c r="B61" s="141"/>
      <c r="P61" s="35"/>
      <c r="Q61" s="35"/>
      <c r="R61" s="35"/>
      <c r="S61" s="72"/>
    </row>
    <row r="62" spans="2:19" x14ac:dyDescent="0.25">
      <c r="B62" s="141"/>
      <c r="P62" s="35"/>
      <c r="Q62" s="35"/>
      <c r="R62" s="35"/>
      <c r="S62" s="72"/>
    </row>
    <row r="63" spans="2:19" ht="15.6" x14ac:dyDescent="0.25">
      <c r="B63" s="399"/>
      <c r="P63" s="35"/>
      <c r="Q63" s="35"/>
      <c r="R63" s="35"/>
      <c r="S63" s="72"/>
    </row>
    <row r="64" spans="2:19" x14ac:dyDescent="0.25">
      <c r="B64" s="143"/>
      <c r="P64" s="35"/>
      <c r="Q64" s="35"/>
      <c r="R64" s="35"/>
      <c r="S64" s="72"/>
    </row>
    <row r="65" spans="2:19" x14ac:dyDescent="0.25">
      <c r="B65" s="141"/>
      <c r="P65" s="35"/>
      <c r="Q65" s="35"/>
      <c r="R65" s="35"/>
      <c r="S65" s="72"/>
    </row>
    <row r="66" spans="2:19" ht="15.6" x14ac:dyDescent="0.3">
      <c r="B66" s="370"/>
      <c r="P66" s="35"/>
      <c r="Q66" s="35"/>
      <c r="R66" s="35"/>
      <c r="S66" s="72"/>
    </row>
    <row r="67" spans="2:19" ht="15" x14ac:dyDescent="0.25">
      <c r="B67" s="369"/>
      <c r="P67" s="321"/>
      <c r="Q67" s="321"/>
      <c r="R67" s="321"/>
      <c r="S67" s="322"/>
    </row>
    <row r="68" spans="2:19" x14ac:dyDescent="0.25">
      <c r="B68" s="141"/>
      <c r="P68" s="35"/>
      <c r="Q68" s="35"/>
      <c r="R68" s="35"/>
      <c r="S68" s="72"/>
    </row>
    <row r="69" spans="2:19" x14ac:dyDescent="0.25">
      <c r="B69" s="141"/>
      <c r="P69" s="35"/>
      <c r="Q69" s="35"/>
      <c r="R69" s="35"/>
      <c r="S69" s="72"/>
    </row>
    <row r="70" spans="2:19" x14ac:dyDescent="0.25">
      <c r="B70" s="141"/>
      <c r="P70" s="35"/>
      <c r="Q70" s="35"/>
      <c r="R70" s="35"/>
      <c r="S70" s="72"/>
    </row>
    <row r="71" spans="2:19" x14ac:dyDescent="0.25">
      <c r="B71" s="141"/>
      <c r="P71" s="35"/>
      <c r="Q71" s="35"/>
      <c r="R71" s="35"/>
      <c r="S71" s="72"/>
    </row>
    <row r="72" spans="2:19" x14ac:dyDescent="0.25">
      <c r="B72" s="141"/>
      <c r="P72" s="35"/>
      <c r="Q72" s="35"/>
      <c r="R72" s="35"/>
      <c r="S72" s="72"/>
    </row>
    <row r="73" spans="2:19" x14ac:dyDescent="0.25">
      <c r="B73" s="141"/>
      <c r="P73" s="35"/>
      <c r="Q73" s="35"/>
      <c r="R73" s="35"/>
      <c r="S73" s="72"/>
    </row>
    <row r="74" spans="2:19" x14ac:dyDescent="0.25">
      <c r="B74" s="141"/>
      <c r="P74" s="35"/>
      <c r="Q74" s="35"/>
      <c r="R74" s="35"/>
      <c r="S74" s="72"/>
    </row>
    <row r="75" spans="2:19" x14ac:dyDescent="0.25">
      <c r="B75" s="442" t="s">
        <v>1829</v>
      </c>
      <c r="P75" s="35"/>
      <c r="Q75" s="35"/>
      <c r="R75" s="35"/>
      <c r="S75" s="72"/>
    </row>
    <row r="76" spans="2:19" x14ac:dyDescent="0.25">
      <c r="B76" s="143"/>
      <c r="P76" s="35"/>
      <c r="Q76" s="35"/>
      <c r="R76" s="35"/>
      <c r="S76" s="72"/>
    </row>
    <row r="77" spans="2:19" x14ac:dyDescent="0.25">
      <c r="B77" s="143"/>
      <c r="P77" s="35"/>
      <c r="Q77" s="35"/>
      <c r="R77" s="35"/>
      <c r="S77" s="72"/>
    </row>
    <row r="78" spans="2:19" x14ac:dyDescent="0.25">
      <c r="B78" s="143"/>
      <c r="P78" s="35"/>
      <c r="Q78" s="35"/>
      <c r="R78" s="35"/>
      <c r="S78" s="72"/>
    </row>
    <row r="79" spans="2:19" x14ac:dyDescent="0.25">
      <c r="B79" s="143"/>
      <c r="P79" s="35"/>
      <c r="Q79" s="35"/>
      <c r="R79" s="35"/>
      <c r="S79" s="72"/>
    </row>
    <row r="80" spans="2:19" x14ac:dyDescent="0.25">
      <c r="B80" s="143"/>
      <c r="P80" s="35"/>
      <c r="Q80" s="35"/>
      <c r="R80" s="35"/>
      <c r="S80" s="72"/>
    </row>
    <row r="81" spans="2:19" ht="15" x14ac:dyDescent="0.25">
      <c r="B81" s="143"/>
      <c r="P81" s="321"/>
      <c r="Q81" s="321"/>
      <c r="R81" s="321"/>
      <c r="S81" s="322"/>
    </row>
    <row r="82" spans="2:19" x14ac:dyDescent="0.25">
      <c r="B82" s="442" t="s">
        <v>1829</v>
      </c>
      <c r="P82" s="35"/>
      <c r="Q82" s="35"/>
      <c r="R82" s="35"/>
      <c r="S82" s="72"/>
    </row>
    <row r="83" spans="2:19" x14ac:dyDescent="0.25">
      <c r="B83" s="442" t="s">
        <v>1829</v>
      </c>
      <c r="P83" s="35"/>
      <c r="Q83" s="35"/>
      <c r="R83" s="35"/>
      <c r="S83" s="72"/>
    </row>
    <row r="84" spans="2:19" x14ac:dyDescent="0.25">
      <c r="B84" s="141"/>
      <c r="P84" s="35"/>
      <c r="Q84" s="35"/>
      <c r="R84" s="35"/>
      <c r="S84" s="72"/>
    </row>
    <row r="85" spans="2:19" x14ac:dyDescent="0.25">
      <c r="B85" s="143"/>
      <c r="P85" s="35"/>
      <c r="Q85" s="35"/>
      <c r="R85" s="35"/>
      <c r="S85" s="72"/>
    </row>
    <row r="86" spans="2:19" x14ac:dyDescent="0.25">
      <c r="B86" s="143"/>
      <c r="P86" s="35"/>
      <c r="Q86" s="35"/>
      <c r="R86" s="35"/>
      <c r="S86" s="72"/>
    </row>
    <row r="87" spans="2:19" x14ac:dyDescent="0.25">
      <c r="B87" s="143"/>
      <c r="P87" s="35"/>
      <c r="Q87" s="35"/>
      <c r="R87" s="35"/>
      <c r="S87" s="72"/>
    </row>
    <row r="88" spans="2:19" x14ac:dyDescent="0.25">
      <c r="B88" s="450"/>
      <c r="P88" s="35"/>
      <c r="Q88" s="35"/>
      <c r="R88" s="35"/>
      <c r="S88" s="72"/>
    </row>
    <row r="89" spans="2:19" x14ac:dyDescent="0.25">
      <c r="B89" s="143"/>
      <c r="P89" s="35"/>
      <c r="Q89" s="35"/>
      <c r="R89" s="35"/>
      <c r="S89" s="72"/>
    </row>
    <row r="90" spans="2:19" x14ac:dyDescent="0.25">
      <c r="B90" s="143"/>
      <c r="P90" s="35"/>
      <c r="Q90" s="35"/>
      <c r="R90" s="35"/>
      <c r="S90" s="72"/>
    </row>
    <row r="91" spans="2:19" x14ac:dyDescent="0.25">
      <c r="B91" s="143"/>
      <c r="P91" s="35"/>
      <c r="Q91" s="35"/>
      <c r="R91" s="35"/>
      <c r="S91" s="72"/>
    </row>
    <row r="92" spans="2:19" x14ac:dyDescent="0.25">
      <c r="B92" s="143"/>
      <c r="P92" s="35"/>
      <c r="Q92" s="35"/>
      <c r="R92" s="35"/>
      <c r="S92" s="72"/>
    </row>
    <row r="93" spans="2:19" x14ac:dyDescent="0.25">
      <c r="B93" s="143"/>
      <c r="P93" s="35"/>
      <c r="Q93" s="35"/>
      <c r="R93" s="35"/>
      <c r="S93" s="72"/>
    </row>
    <row r="94" spans="2:19" x14ac:dyDescent="0.25">
      <c r="B94" s="143"/>
      <c r="P94" s="35"/>
      <c r="Q94" s="35"/>
      <c r="R94" s="35"/>
      <c r="S94" s="72"/>
    </row>
    <row r="95" spans="2:19" x14ac:dyDescent="0.25">
      <c r="B95" s="450"/>
      <c r="P95" s="35"/>
      <c r="Q95" s="35"/>
      <c r="R95" s="35"/>
      <c r="S95" s="72"/>
    </row>
    <row r="96" spans="2:19" x14ac:dyDescent="0.25">
      <c r="B96" s="143"/>
      <c r="P96" s="35"/>
      <c r="Q96" s="35"/>
      <c r="R96" s="35"/>
      <c r="S96" s="72"/>
    </row>
    <row r="97" spans="2:19" x14ac:dyDescent="0.25">
      <c r="B97" s="143"/>
      <c r="P97" s="35"/>
      <c r="Q97" s="35"/>
      <c r="R97" s="35"/>
      <c r="S97" s="72"/>
    </row>
    <row r="98" spans="2:19" x14ac:dyDescent="0.25">
      <c r="B98" s="143"/>
      <c r="P98" s="35"/>
      <c r="Q98" s="35"/>
      <c r="R98" s="35"/>
      <c r="S98" s="72"/>
    </row>
    <row r="99" spans="2:19" x14ac:dyDescent="0.25">
      <c r="B99" s="143"/>
      <c r="P99" s="35"/>
      <c r="Q99" s="35"/>
      <c r="R99" s="35"/>
      <c r="S99" s="72"/>
    </row>
    <row r="100" spans="2:19" x14ac:dyDescent="0.25">
      <c r="B100" s="143"/>
      <c r="P100" s="35"/>
      <c r="Q100" s="35"/>
      <c r="R100" s="35"/>
      <c r="S100" s="72"/>
    </row>
    <row r="101" spans="2:19" x14ac:dyDescent="0.25">
      <c r="B101" s="143"/>
      <c r="P101" s="35"/>
      <c r="Q101" s="35"/>
      <c r="R101" s="35"/>
      <c r="S101" s="72"/>
    </row>
    <row r="102" spans="2:19" x14ac:dyDescent="0.25">
      <c r="B102" s="143"/>
      <c r="P102" s="35"/>
      <c r="Q102" s="35"/>
      <c r="R102" s="35"/>
      <c r="S102" s="72"/>
    </row>
    <row r="103" spans="2:19" x14ac:dyDescent="0.25">
      <c r="B103" s="143"/>
      <c r="P103" s="35"/>
      <c r="Q103" s="35"/>
      <c r="R103" s="35"/>
      <c r="S103" s="72"/>
    </row>
    <row r="104" spans="2:19" x14ac:dyDescent="0.25">
      <c r="B104" s="143"/>
      <c r="P104" s="35"/>
      <c r="Q104" s="35"/>
      <c r="R104" s="35"/>
      <c r="S104" s="72"/>
    </row>
    <row r="105" spans="2:19" x14ac:dyDescent="0.25">
      <c r="B105" s="143"/>
      <c r="P105" s="35"/>
      <c r="Q105" s="35"/>
      <c r="R105" s="35"/>
      <c r="S105" s="72"/>
    </row>
    <row r="106" spans="2:19" x14ac:dyDescent="0.25">
      <c r="B106" s="143"/>
      <c r="P106" s="35"/>
      <c r="Q106" s="35"/>
      <c r="R106" s="35"/>
      <c r="S106" s="72"/>
    </row>
    <row r="107" spans="2:19" x14ac:dyDescent="0.25">
      <c r="B107" s="143"/>
      <c r="P107" s="35"/>
      <c r="Q107" s="35"/>
      <c r="R107" s="35"/>
      <c r="S107" s="72"/>
    </row>
    <row r="108" spans="2:19" x14ac:dyDescent="0.25">
      <c r="B108" s="450"/>
      <c r="P108" s="35"/>
      <c r="Q108" s="35"/>
      <c r="R108" s="35"/>
      <c r="S108" s="72"/>
    </row>
    <row r="109" spans="2:19" x14ac:dyDescent="0.25">
      <c r="B109" s="442" t="s">
        <v>1829</v>
      </c>
      <c r="P109" s="35"/>
      <c r="Q109" s="35"/>
      <c r="R109" s="35"/>
      <c r="S109" s="72"/>
    </row>
    <row r="110" spans="2:19" x14ac:dyDescent="0.25">
      <c r="B110" s="442" t="s">
        <v>1829</v>
      </c>
      <c r="P110" s="35"/>
      <c r="Q110" s="35"/>
      <c r="R110" s="35"/>
      <c r="S110" s="72"/>
    </row>
    <row r="111" spans="2:19" x14ac:dyDescent="0.25">
      <c r="B111" s="442" t="s">
        <v>1829</v>
      </c>
      <c r="P111" s="35"/>
      <c r="Q111" s="35"/>
      <c r="R111" s="35"/>
      <c r="S111" s="72"/>
    </row>
    <row r="112" spans="2:19" x14ac:dyDescent="0.25">
      <c r="B112" s="369"/>
      <c r="P112" s="35"/>
      <c r="Q112" s="35"/>
      <c r="R112" s="35"/>
      <c r="S112" s="72"/>
    </row>
    <row r="113" spans="2:19" x14ac:dyDescent="0.25">
      <c r="B113" s="141"/>
      <c r="P113" s="35"/>
      <c r="Q113" s="35"/>
      <c r="R113" s="35"/>
      <c r="S113" s="72"/>
    </row>
    <row r="114" spans="2:19" x14ac:dyDescent="0.25">
      <c r="B114" s="141"/>
      <c r="P114" s="35"/>
      <c r="Q114" s="35"/>
      <c r="R114" s="35"/>
      <c r="S114" s="72"/>
    </row>
    <row r="115" spans="2:19" x14ac:dyDescent="0.25">
      <c r="B115" s="141"/>
      <c r="P115" s="35"/>
      <c r="Q115" s="35"/>
      <c r="R115" s="35"/>
      <c r="S115" s="72"/>
    </row>
    <row r="116" spans="2:19" x14ac:dyDescent="0.25">
      <c r="B116" s="141"/>
      <c r="P116" s="35"/>
      <c r="Q116" s="35"/>
      <c r="R116" s="35"/>
      <c r="S116" s="72"/>
    </row>
    <row r="117" spans="2:19" x14ac:dyDescent="0.25">
      <c r="B117" s="141"/>
      <c r="P117" s="35"/>
      <c r="Q117" s="35"/>
      <c r="R117" s="35"/>
      <c r="S117" s="72"/>
    </row>
    <row r="118" spans="2:19" x14ac:dyDescent="0.25">
      <c r="B118" s="442" t="s">
        <v>1829</v>
      </c>
      <c r="P118" s="35"/>
      <c r="Q118" s="35"/>
      <c r="R118" s="35"/>
      <c r="S118" s="72"/>
    </row>
    <row r="119" spans="2:19" x14ac:dyDescent="0.25">
      <c r="B119" s="141"/>
      <c r="P119" s="35"/>
      <c r="Q119" s="35"/>
      <c r="R119" s="35"/>
      <c r="S119" s="72"/>
    </row>
    <row r="120" spans="2:19" x14ac:dyDescent="0.25">
      <c r="B120" s="369"/>
      <c r="P120" s="35"/>
      <c r="Q120" s="35"/>
      <c r="R120" s="35"/>
      <c r="S120" s="72"/>
    </row>
    <row r="121" spans="2:19" x14ac:dyDescent="0.25">
      <c r="B121" s="411"/>
      <c r="P121" s="35"/>
      <c r="Q121" s="35"/>
      <c r="R121" s="35"/>
      <c r="S121" s="72"/>
    </row>
    <row r="122" spans="2:19" x14ac:dyDescent="0.25">
      <c r="B122" s="411"/>
      <c r="P122" s="35"/>
      <c r="Q122" s="35"/>
      <c r="R122" s="35"/>
      <c r="S122" s="72"/>
    </row>
    <row r="123" spans="2:19" x14ac:dyDescent="0.25">
      <c r="B123" s="411"/>
      <c r="P123" s="35"/>
      <c r="Q123" s="35"/>
      <c r="R123" s="35"/>
      <c r="S123" s="72"/>
    </row>
    <row r="124" spans="2:19" x14ac:dyDescent="0.25">
      <c r="B124" s="411"/>
      <c r="P124" s="35"/>
      <c r="Q124" s="35"/>
      <c r="R124" s="35"/>
      <c r="S124" s="72"/>
    </row>
    <row r="125" spans="2:19" x14ac:dyDescent="0.25">
      <c r="B125" s="141"/>
      <c r="P125" s="35"/>
      <c r="Q125" s="35"/>
      <c r="R125" s="35"/>
      <c r="S125" s="72"/>
    </row>
    <row r="126" spans="2:19" x14ac:dyDescent="0.25">
      <c r="B126" s="141"/>
      <c r="P126" s="35"/>
      <c r="Q126" s="35"/>
      <c r="R126" s="35"/>
      <c r="S126" s="72"/>
    </row>
    <row r="127" spans="2:19" x14ac:dyDescent="0.25">
      <c r="B127" s="369"/>
      <c r="P127" s="35"/>
      <c r="Q127" s="35"/>
      <c r="R127" s="35"/>
      <c r="S127" s="72"/>
    </row>
    <row r="128" spans="2:19" x14ac:dyDescent="0.25">
      <c r="B128" s="141"/>
      <c r="P128" s="35"/>
      <c r="Q128" s="35"/>
      <c r="R128" s="35"/>
      <c r="S128" s="72"/>
    </row>
    <row r="129" spans="2:19" x14ac:dyDescent="0.25">
      <c r="B129" s="141"/>
      <c r="P129" s="35"/>
      <c r="Q129" s="35"/>
      <c r="R129" s="35"/>
      <c r="S129" s="72"/>
    </row>
    <row r="130" spans="2:19" x14ac:dyDescent="0.25">
      <c r="B130" s="141"/>
      <c r="P130" s="35"/>
      <c r="Q130" s="35"/>
      <c r="R130" s="35"/>
      <c r="S130" s="72"/>
    </row>
    <row r="131" spans="2:19" x14ac:dyDescent="0.25">
      <c r="B131" s="141"/>
      <c r="P131" s="35"/>
      <c r="Q131" s="35"/>
      <c r="R131" s="35"/>
      <c r="S131" s="72"/>
    </row>
    <row r="132" spans="2:19" x14ac:dyDescent="0.25">
      <c r="B132" s="369"/>
      <c r="P132" s="35"/>
      <c r="Q132" s="35"/>
      <c r="R132" s="35"/>
      <c r="S132" s="72"/>
    </row>
    <row r="133" spans="2:19" x14ac:dyDescent="0.25">
      <c r="B133" s="411"/>
      <c r="P133" s="35"/>
      <c r="Q133" s="35"/>
      <c r="R133" s="35"/>
      <c r="S133" s="72"/>
    </row>
    <row r="134" spans="2:19" x14ac:dyDescent="0.25">
      <c r="B134" s="411"/>
      <c r="P134" s="35"/>
      <c r="Q134" s="35"/>
      <c r="R134" s="35"/>
      <c r="S134" s="72"/>
    </row>
    <row r="135" spans="2:19" x14ac:dyDescent="0.25">
      <c r="B135" s="143"/>
      <c r="P135" s="35"/>
      <c r="Q135" s="35"/>
      <c r="R135" s="35"/>
      <c r="S135" s="72"/>
    </row>
    <row r="136" spans="2:19" x14ac:dyDescent="0.25">
      <c r="B136" s="143"/>
      <c r="P136" s="35"/>
      <c r="Q136" s="35"/>
      <c r="R136" s="35"/>
      <c r="S136" s="72"/>
    </row>
    <row r="137" spans="2:19" x14ac:dyDescent="0.25">
      <c r="B137" s="143"/>
      <c r="P137" s="35"/>
      <c r="Q137" s="35"/>
      <c r="R137" s="35"/>
      <c r="S137" s="72"/>
    </row>
    <row r="138" spans="2:19" x14ac:dyDescent="0.25">
      <c r="B138" s="143"/>
      <c r="P138" s="35"/>
      <c r="Q138" s="35"/>
      <c r="R138" s="35"/>
      <c r="S138" s="72"/>
    </row>
    <row r="139" spans="2:19" x14ac:dyDescent="0.25">
      <c r="B139" s="143"/>
      <c r="P139" s="35"/>
      <c r="Q139" s="35"/>
      <c r="R139" s="35"/>
      <c r="S139" s="72"/>
    </row>
    <row r="140" spans="2:19" x14ac:dyDescent="0.25">
      <c r="B140" s="143"/>
      <c r="P140" s="35"/>
      <c r="Q140" s="35"/>
      <c r="R140" s="35"/>
      <c r="S140" s="72"/>
    </row>
    <row r="141" spans="2:19" x14ac:dyDescent="0.25">
      <c r="B141" s="141"/>
      <c r="P141" s="35"/>
      <c r="Q141" s="35"/>
      <c r="R141" s="35"/>
      <c r="S141" s="72"/>
    </row>
    <row r="142" spans="2:19" x14ac:dyDescent="0.25">
      <c r="B142" s="141"/>
      <c r="P142" s="35"/>
      <c r="Q142" s="35"/>
      <c r="R142" s="35"/>
      <c r="S142" s="72"/>
    </row>
    <row r="143" spans="2:19" x14ac:dyDescent="0.25">
      <c r="B143" s="141"/>
      <c r="P143" s="35"/>
      <c r="Q143" s="35"/>
      <c r="R143" s="35"/>
      <c r="S143" s="72"/>
    </row>
    <row r="144" spans="2:19" x14ac:dyDescent="0.25">
      <c r="B144" s="141"/>
      <c r="P144" s="35"/>
      <c r="Q144" s="35"/>
      <c r="R144" s="35"/>
      <c r="S144" s="72"/>
    </row>
    <row r="145" spans="2:19" x14ac:dyDescent="0.25">
      <c r="B145" s="369"/>
      <c r="P145" s="35"/>
      <c r="Q145" s="35"/>
      <c r="R145" s="35"/>
      <c r="S145" s="72"/>
    </row>
    <row r="146" spans="2:19" x14ac:dyDescent="0.25">
      <c r="B146" s="141"/>
      <c r="P146" s="35"/>
      <c r="Q146" s="35"/>
      <c r="R146" s="35"/>
      <c r="S146" s="72"/>
    </row>
    <row r="147" spans="2:19" x14ac:dyDescent="0.25">
      <c r="B147" s="141"/>
      <c r="P147" s="35"/>
      <c r="Q147" s="35"/>
      <c r="R147" s="35"/>
      <c r="S147" s="72"/>
    </row>
    <row r="148" spans="2:19" x14ac:dyDescent="0.25">
      <c r="B148" s="141"/>
      <c r="P148" s="35"/>
      <c r="Q148" s="35"/>
      <c r="R148" s="35"/>
      <c r="S148" s="72"/>
    </row>
    <row r="149" spans="2:19" x14ac:dyDescent="0.25">
      <c r="B149" s="141"/>
      <c r="P149" s="35"/>
      <c r="Q149" s="35"/>
      <c r="R149" s="35"/>
      <c r="S149" s="72"/>
    </row>
    <row r="150" spans="2:19" x14ac:dyDescent="0.25">
      <c r="B150" s="369"/>
      <c r="P150" s="35"/>
      <c r="Q150" s="35"/>
      <c r="R150" s="35"/>
      <c r="S150" s="72"/>
    </row>
    <row r="151" spans="2:19" x14ac:dyDescent="0.25">
      <c r="B151" s="141"/>
      <c r="P151" s="35"/>
      <c r="Q151" s="35"/>
      <c r="R151" s="35"/>
      <c r="S151" s="72"/>
    </row>
    <row r="152" spans="2:19" x14ac:dyDescent="0.25">
      <c r="B152" s="141"/>
      <c r="P152" s="35"/>
      <c r="Q152" s="35"/>
      <c r="R152" s="35"/>
      <c r="S152" s="72"/>
    </row>
    <row r="153" spans="2:19" x14ac:dyDescent="0.25">
      <c r="B153" s="141"/>
      <c r="P153" s="35"/>
      <c r="Q153" s="35"/>
      <c r="R153" s="35"/>
      <c r="S153" s="72"/>
    </row>
    <row r="154" spans="2:19" x14ac:dyDescent="0.25">
      <c r="B154" s="141"/>
      <c r="P154" s="35"/>
      <c r="Q154" s="35"/>
      <c r="R154" s="35"/>
      <c r="S154" s="72"/>
    </row>
    <row r="155" spans="2:19" x14ac:dyDescent="0.25">
      <c r="B155" s="803"/>
      <c r="P155" s="35"/>
      <c r="Q155" s="35"/>
      <c r="R155" s="35"/>
      <c r="S155" s="72"/>
    </row>
    <row r="156" spans="2:19" x14ac:dyDescent="0.25">
      <c r="B156" s="804"/>
      <c r="P156" s="35"/>
      <c r="Q156" s="35"/>
      <c r="R156" s="35"/>
      <c r="S156" s="72"/>
    </row>
    <row r="157" spans="2:19" x14ac:dyDescent="0.25">
      <c r="B157" s="804"/>
      <c r="P157" s="35"/>
      <c r="Q157" s="35"/>
      <c r="R157" s="35"/>
      <c r="S157" s="72"/>
    </row>
    <row r="158" spans="2:19" x14ac:dyDescent="0.25">
      <c r="B158" s="804"/>
      <c r="P158" s="35"/>
      <c r="Q158" s="35"/>
      <c r="R158" s="35"/>
      <c r="S158" s="72"/>
    </row>
    <row r="159" spans="2:19" x14ac:dyDescent="0.25">
      <c r="B159" s="141"/>
      <c r="P159" s="35"/>
      <c r="Q159" s="35"/>
      <c r="R159" s="35"/>
      <c r="S159" s="72"/>
    </row>
    <row r="160" spans="2:19" ht="15.6" x14ac:dyDescent="0.3">
      <c r="B160" s="400"/>
      <c r="P160" s="35"/>
      <c r="Q160" s="35"/>
      <c r="R160" s="35"/>
      <c r="S160" s="72"/>
    </row>
    <row r="161" spans="2:19" x14ac:dyDescent="0.25">
      <c r="B161" s="411"/>
      <c r="P161" s="35"/>
      <c r="Q161" s="35"/>
      <c r="R161" s="35"/>
      <c r="S161" s="72"/>
    </row>
    <row r="162" spans="2:19" x14ac:dyDescent="0.25">
      <c r="B162" s="411"/>
      <c r="P162" s="35"/>
      <c r="Q162" s="35"/>
      <c r="R162" s="35"/>
      <c r="S162" s="72"/>
    </row>
    <row r="163" spans="2:19" x14ac:dyDescent="0.25">
      <c r="B163" s="411"/>
      <c r="P163" s="35"/>
      <c r="Q163" s="35"/>
      <c r="R163" s="35"/>
      <c r="S163" s="72"/>
    </row>
    <row r="164" spans="2:19" x14ac:dyDescent="0.25">
      <c r="B164" s="141"/>
      <c r="P164" s="35"/>
      <c r="Q164" s="35"/>
      <c r="R164" s="35"/>
      <c r="S164" s="72"/>
    </row>
    <row r="165" spans="2:19" x14ac:dyDescent="0.25">
      <c r="B165" s="141"/>
      <c r="P165" s="35"/>
      <c r="Q165" s="35"/>
      <c r="R165" s="35"/>
      <c r="S165" s="72"/>
    </row>
    <row r="166" spans="2:19" x14ac:dyDescent="0.25">
      <c r="B166" s="141"/>
      <c r="P166" s="35"/>
      <c r="Q166" s="35"/>
      <c r="R166" s="35"/>
      <c r="S166" s="72"/>
    </row>
    <row r="167" spans="2:19" x14ac:dyDescent="0.25">
      <c r="B167" s="141"/>
      <c r="P167" s="35"/>
      <c r="Q167" s="35"/>
      <c r="R167" s="35"/>
      <c r="S167" s="72"/>
    </row>
    <row r="168" spans="2:19" x14ac:dyDescent="0.25">
      <c r="B168" s="141"/>
      <c r="P168" s="35"/>
      <c r="Q168" s="35"/>
      <c r="R168" s="35"/>
      <c r="S168" s="72"/>
    </row>
    <row r="169" spans="2:19" x14ac:dyDescent="0.25">
      <c r="B169" s="141"/>
      <c r="P169" s="35"/>
      <c r="Q169" s="35"/>
      <c r="R169" s="35"/>
      <c r="S169" s="72"/>
    </row>
    <row r="170" spans="2:19" x14ac:dyDescent="0.25">
      <c r="B170" s="141"/>
      <c r="P170" s="35"/>
      <c r="Q170" s="35"/>
      <c r="R170" s="35"/>
      <c r="S170" s="72"/>
    </row>
    <row r="171" spans="2:19" x14ac:dyDescent="0.25">
      <c r="B171" s="141"/>
      <c r="P171" s="35"/>
      <c r="Q171" s="35"/>
      <c r="R171" s="35"/>
      <c r="S171" s="72"/>
    </row>
    <row r="172" spans="2:19" ht="15.6" x14ac:dyDescent="0.25">
      <c r="B172" s="399"/>
      <c r="P172" s="35"/>
      <c r="Q172" s="35"/>
      <c r="R172" s="35"/>
      <c r="S172" s="72"/>
    </row>
    <row r="173" spans="2:19" x14ac:dyDescent="0.25">
      <c r="B173" s="411"/>
      <c r="P173" s="35"/>
      <c r="Q173" s="35"/>
      <c r="R173" s="35"/>
      <c r="S173" s="72"/>
    </row>
    <row r="174" spans="2:19" x14ac:dyDescent="0.25">
      <c r="B174" s="411"/>
      <c r="P174" s="35"/>
      <c r="Q174" s="35"/>
      <c r="R174" s="35"/>
      <c r="S174" s="72"/>
    </row>
    <row r="175" spans="2:19" x14ac:dyDescent="0.25">
      <c r="B175" s="411"/>
      <c r="P175" s="35"/>
      <c r="Q175" s="35"/>
      <c r="R175" s="35"/>
      <c r="S175" s="72"/>
    </row>
    <row r="176" spans="2:19" x14ac:dyDescent="0.25">
      <c r="B176" s="143"/>
      <c r="P176" s="35"/>
      <c r="Q176" s="35"/>
      <c r="R176" s="35"/>
      <c r="S176" s="72"/>
    </row>
    <row r="177" spans="2:19" x14ac:dyDescent="0.25">
      <c r="B177" s="143"/>
      <c r="P177" s="35"/>
      <c r="Q177" s="35"/>
      <c r="R177" s="35"/>
      <c r="S177" s="72"/>
    </row>
    <row r="178" spans="2:19" x14ac:dyDescent="0.25">
      <c r="B178" s="143"/>
      <c r="P178" s="35"/>
      <c r="Q178" s="35"/>
      <c r="R178" s="35"/>
      <c r="S178" s="72"/>
    </row>
    <row r="179" spans="2:19" x14ac:dyDescent="0.25">
      <c r="B179" s="143"/>
      <c r="P179" s="35"/>
      <c r="Q179" s="35"/>
      <c r="R179" s="35"/>
      <c r="S179" s="72"/>
    </row>
    <row r="180" spans="2:19" x14ac:dyDescent="0.25">
      <c r="B180" s="143"/>
      <c r="P180" s="35"/>
      <c r="Q180" s="35"/>
      <c r="R180" s="35"/>
      <c r="S180" s="72"/>
    </row>
    <row r="181" spans="2:19" x14ac:dyDescent="0.25">
      <c r="B181" s="143"/>
      <c r="P181" s="35"/>
      <c r="Q181" s="35"/>
      <c r="R181" s="35"/>
      <c r="S181" s="72"/>
    </row>
    <row r="182" spans="2:19" x14ac:dyDescent="0.25">
      <c r="B182" s="143"/>
      <c r="P182" s="35"/>
      <c r="Q182" s="35"/>
      <c r="R182" s="35"/>
      <c r="S182" s="72"/>
    </row>
    <row r="183" spans="2:19" x14ac:dyDescent="0.25">
      <c r="B183" s="143"/>
      <c r="P183" s="35"/>
      <c r="Q183" s="35"/>
      <c r="R183" s="35"/>
      <c r="S183" s="72"/>
    </row>
    <row r="184" spans="2:19" x14ac:dyDescent="0.25">
      <c r="B184" s="141"/>
      <c r="P184" s="35"/>
      <c r="Q184" s="35"/>
      <c r="R184" s="35"/>
      <c r="S184" s="72"/>
    </row>
    <row r="185" spans="2:19" ht="15.6" x14ac:dyDescent="0.3">
      <c r="B185" s="370"/>
      <c r="P185" s="35"/>
      <c r="Q185" s="35"/>
      <c r="R185" s="35"/>
      <c r="S185" s="72"/>
    </row>
    <row r="186" spans="2:19" x14ac:dyDescent="0.25">
      <c r="B186" s="411"/>
      <c r="P186" s="35"/>
      <c r="Q186" s="35"/>
      <c r="R186" s="35"/>
      <c r="S186" s="72"/>
    </row>
    <row r="187" spans="2:19" x14ac:dyDescent="0.25">
      <c r="B187" s="143"/>
      <c r="P187" s="35"/>
      <c r="Q187" s="35"/>
      <c r="R187" s="35"/>
      <c r="S187" s="72"/>
    </row>
    <row r="188" spans="2:19" x14ac:dyDescent="0.25">
      <c r="B188" s="143"/>
      <c r="P188" s="35"/>
      <c r="Q188" s="35"/>
      <c r="R188" s="35"/>
      <c r="S188" s="72"/>
    </row>
    <row r="189" spans="2:19" ht="15" x14ac:dyDescent="0.25">
      <c r="B189" s="143"/>
      <c r="P189" s="321"/>
      <c r="Q189" s="321"/>
      <c r="R189" s="321"/>
      <c r="S189" s="322"/>
    </row>
    <row r="190" spans="2:19" x14ac:dyDescent="0.25">
      <c r="B190" s="143"/>
      <c r="P190" s="35"/>
      <c r="Q190" s="35"/>
      <c r="R190" s="35"/>
      <c r="S190" s="72"/>
    </row>
    <row r="191" spans="2:19" x14ac:dyDescent="0.25">
      <c r="B191" s="143"/>
      <c r="P191" s="35"/>
      <c r="Q191" s="35"/>
      <c r="R191" s="35"/>
      <c r="S191" s="72"/>
    </row>
    <row r="192" spans="2:19" x14ac:dyDescent="0.25">
      <c r="B192" s="143"/>
      <c r="P192" s="35"/>
      <c r="Q192" s="35"/>
      <c r="R192" s="35"/>
      <c r="S192" s="72"/>
    </row>
    <row r="193" spans="2:19" x14ac:dyDescent="0.25">
      <c r="B193" s="143"/>
      <c r="P193" s="35"/>
      <c r="Q193" s="35"/>
      <c r="R193" s="35"/>
      <c r="S193" s="72"/>
    </row>
    <row r="194" spans="2:19" x14ac:dyDescent="0.25">
      <c r="B194" s="143"/>
      <c r="P194" s="35"/>
      <c r="Q194" s="35"/>
      <c r="R194" s="35"/>
      <c r="S194" s="72"/>
    </row>
    <row r="195" spans="2:19" x14ac:dyDescent="0.25">
      <c r="B195" s="369"/>
      <c r="P195" s="35"/>
      <c r="Q195" s="35"/>
      <c r="R195" s="35"/>
      <c r="S195" s="72"/>
    </row>
    <row r="196" spans="2:19" x14ac:dyDescent="0.25">
      <c r="B196" s="143"/>
      <c r="P196" s="35"/>
      <c r="Q196" s="35"/>
      <c r="R196" s="35"/>
      <c r="S196" s="72"/>
    </row>
    <row r="197" spans="2:19" x14ac:dyDescent="0.25">
      <c r="B197" s="141"/>
      <c r="P197" s="35"/>
      <c r="Q197" s="35"/>
      <c r="R197" s="35"/>
      <c r="S197" s="72"/>
    </row>
    <row r="198" spans="2:19" ht="15.6" x14ac:dyDescent="0.3">
      <c r="B198" s="370"/>
      <c r="P198" s="321"/>
      <c r="Q198" s="321"/>
      <c r="R198" s="321"/>
      <c r="S198" s="322"/>
    </row>
    <row r="199" spans="2:19" x14ac:dyDescent="0.25">
      <c r="B199" s="411"/>
      <c r="P199" s="35"/>
      <c r="Q199" s="35"/>
      <c r="R199" s="35"/>
      <c r="S199" s="72"/>
    </row>
    <row r="200" spans="2:19" x14ac:dyDescent="0.25">
      <c r="B200" s="143"/>
      <c r="P200" s="35"/>
      <c r="Q200" s="35"/>
      <c r="R200" s="35"/>
      <c r="S200" s="72"/>
    </row>
    <row r="201" spans="2:19" ht="15" x14ac:dyDescent="0.25">
      <c r="B201" s="143"/>
      <c r="P201" s="321"/>
      <c r="Q201" s="321"/>
      <c r="R201" s="321"/>
      <c r="S201" s="322"/>
    </row>
    <row r="202" spans="2:19" x14ac:dyDescent="0.25">
      <c r="B202" s="143"/>
      <c r="P202" s="35"/>
      <c r="Q202" s="35"/>
      <c r="R202" s="35"/>
      <c r="S202" s="72"/>
    </row>
    <row r="203" spans="2:19" x14ac:dyDescent="0.25">
      <c r="B203" s="143"/>
      <c r="P203" s="35"/>
      <c r="Q203" s="35"/>
      <c r="R203" s="35"/>
      <c r="S203" s="72"/>
    </row>
    <row r="204" spans="2:19" x14ac:dyDescent="0.25">
      <c r="B204" s="143"/>
      <c r="P204" s="35"/>
      <c r="Q204" s="35"/>
      <c r="R204" s="35"/>
      <c r="S204" s="72"/>
    </row>
    <row r="205" spans="2:19" x14ac:dyDescent="0.25">
      <c r="B205" s="143"/>
      <c r="P205" s="35"/>
      <c r="Q205" s="35"/>
      <c r="R205" s="35"/>
      <c r="S205" s="72"/>
    </row>
    <row r="206" spans="2:19" ht="15" x14ac:dyDescent="0.25">
      <c r="B206" s="143"/>
      <c r="P206" s="321"/>
      <c r="Q206" s="321"/>
      <c r="R206" s="321"/>
      <c r="S206" s="322"/>
    </row>
    <row r="207" spans="2:19" x14ac:dyDescent="0.25">
      <c r="B207" s="143"/>
      <c r="P207" s="35"/>
      <c r="Q207" s="35"/>
      <c r="R207" s="35"/>
      <c r="S207" s="72"/>
    </row>
    <row r="208" spans="2:19" x14ac:dyDescent="0.25">
      <c r="B208" s="39"/>
      <c r="P208" s="35"/>
      <c r="Q208" s="35"/>
      <c r="R208" s="35"/>
      <c r="S208" s="72"/>
    </row>
    <row r="209" spans="2:19" ht="15.6" x14ac:dyDescent="0.3">
      <c r="B209" s="370"/>
      <c r="P209" s="35"/>
      <c r="Q209" s="35"/>
      <c r="R209" s="35"/>
      <c r="S209" s="72"/>
    </row>
    <row r="210" spans="2:19" x14ac:dyDescent="0.25">
      <c r="B210" s="143"/>
      <c r="P210" s="35"/>
      <c r="Q210" s="35"/>
      <c r="R210" s="35"/>
      <c r="S210" s="72"/>
    </row>
    <row r="211" spans="2:19" x14ac:dyDescent="0.25">
      <c r="B211" s="143"/>
      <c r="P211" s="35"/>
      <c r="Q211" s="35"/>
      <c r="R211" s="35"/>
      <c r="S211" s="72"/>
    </row>
    <row r="212" spans="2:19" x14ac:dyDescent="0.25">
      <c r="B212" s="143"/>
      <c r="P212" s="35"/>
      <c r="Q212" s="35"/>
      <c r="R212" s="35"/>
      <c r="S212" s="72"/>
    </row>
    <row r="213" spans="2:19" x14ac:dyDescent="0.25">
      <c r="B213" s="143"/>
      <c r="P213" s="35"/>
      <c r="Q213" s="35"/>
      <c r="R213" s="35"/>
      <c r="S213" s="72"/>
    </row>
    <row r="214" spans="2:19" x14ac:dyDescent="0.25">
      <c r="B214" s="141"/>
      <c r="P214" s="35"/>
      <c r="Q214" s="35"/>
      <c r="R214" s="35"/>
      <c r="S214" s="72"/>
    </row>
    <row r="215" spans="2:19" ht="15.6" x14ac:dyDescent="0.3">
      <c r="B215" s="400"/>
      <c r="P215" s="35"/>
      <c r="Q215" s="35"/>
      <c r="R215" s="35"/>
      <c r="S215" s="72"/>
    </row>
    <row r="216" spans="2:19" x14ac:dyDescent="0.25">
      <c r="B216" s="143"/>
      <c r="P216" s="35"/>
      <c r="Q216" s="35"/>
      <c r="R216" s="35"/>
      <c r="S216" s="72"/>
    </row>
    <row r="217" spans="2:19" x14ac:dyDescent="0.25">
      <c r="B217" s="143"/>
      <c r="P217" s="35"/>
      <c r="Q217" s="35"/>
      <c r="R217" s="35"/>
      <c r="S217" s="72"/>
    </row>
    <row r="218" spans="2:19" ht="15" x14ac:dyDescent="0.25">
      <c r="B218" s="143"/>
      <c r="P218" s="321"/>
      <c r="Q218" s="321"/>
      <c r="R218" s="321"/>
      <c r="S218" s="322"/>
    </row>
    <row r="219" spans="2:19" x14ac:dyDescent="0.25">
      <c r="B219" s="143"/>
      <c r="P219" s="35"/>
      <c r="Q219" s="35"/>
      <c r="R219" s="35"/>
      <c r="S219" s="72"/>
    </row>
    <row r="220" spans="2:19" x14ac:dyDescent="0.25">
      <c r="B220" s="141"/>
      <c r="P220" s="35"/>
      <c r="Q220" s="35"/>
      <c r="R220" s="35"/>
      <c r="S220" s="72"/>
    </row>
    <row r="221" spans="2:19" ht="15.6" x14ac:dyDescent="0.3">
      <c r="B221" s="370"/>
      <c r="P221" s="35"/>
      <c r="Q221" s="35"/>
      <c r="R221" s="35"/>
      <c r="S221" s="72"/>
    </row>
    <row r="222" spans="2:19" x14ac:dyDescent="0.25">
      <c r="B222" s="143"/>
      <c r="P222" s="35"/>
      <c r="Q222" s="35"/>
      <c r="R222" s="35"/>
      <c r="S222" s="72"/>
    </row>
    <row r="223" spans="2:19" x14ac:dyDescent="0.25">
      <c r="B223" s="143"/>
      <c r="P223" s="35"/>
      <c r="Q223" s="35"/>
      <c r="R223" s="35"/>
      <c r="S223" s="72"/>
    </row>
    <row r="224" spans="2:19" x14ac:dyDescent="0.25">
      <c r="B224" s="373"/>
      <c r="P224" s="35"/>
      <c r="Q224" s="35"/>
      <c r="R224" s="35"/>
      <c r="S224" s="72"/>
    </row>
    <row r="225" spans="2:19" ht="15.6" x14ac:dyDescent="0.3">
      <c r="B225" s="370"/>
      <c r="P225" s="35"/>
      <c r="Q225" s="35"/>
      <c r="R225" s="35"/>
      <c r="S225" s="72"/>
    </row>
    <row r="226" spans="2:19" x14ac:dyDescent="0.25">
      <c r="B226" s="369"/>
      <c r="P226" s="35"/>
      <c r="Q226" s="35"/>
      <c r="R226" s="35"/>
      <c r="S226" s="72"/>
    </row>
    <row r="227" spans="2:19" x14ac:dyDescent="0.25">
      <c r="B227" s="411"/>
      <c r="P227" s="35"/>
      <c r="Q227" s="35"/>
      <c r="R227" s="35"/>
      <c r="S227" s="72"/>
    </row>
    <row r="228" spans="2:19" x14ac:dyDescent="0.25">
      <c r="B228" s="411"/>
      <c r="P228" s="35"/>
      <c r="Q228" s="35"/>
      <c r="R228" s="35"/>
      <c r="S228" s="72"/>
    </row>
    <row r="229" spans="2:19" x14ac:dyDescent="0.25">
      <c r="B229" s="411"/>
      <c r="P229" s="35"/>
      <c r="Q229" s="35"/>
      <c r="R229" s="35"/>
      <c r="S229" s="72"/>
    </row>
    <row r="230" spans="2:19" x14ac:dyDescent="0.25">
      <c r="B230" s="141"/>
      <c r="P230" s="35"/>
      <c r="Q230" s="35"/>
      <c r="R230" s="35"/>
      <c r="S230" s="72"/>
    </row>
    <row r="231" spans="2:19" x14ac:dyDescent="0.25">
      <c r="B231" s="141"/>
      <c r="P231" s="35"/>
      <c r="Q231" s="35"/>
      <c r="R231" s="35"/>
      <c r="S231" s="72"/>
    </row>
    <row r="232" spans="2:19" x14ac:dyDescent="0.25">
      <c r="B232" s="141"/>
      <c r="P232" s="35"/>
      <c r="Q232" s="35"/>
      <c r="R232" s="35"/>
      <c r="S232" s="72"/>
    </row>
    <row r="233" spans="2:19" x14ac:dyDescent="0.25">
      <c r="B233" s="141"/>
      <c r="P233" s="35"/>
      <c r="Q233" s="35"/>
      <c r="R233" s="35"/>
      <c r="S233" s="72"/>
    </row>
    <row r="234" spans="2:19" x14ac:dyDescent="0.25">
      <c r="B234" s="141"/>
      <c r="P234" s="35"/>
      <c r="Q234" s="35"/>
      <c r="R234" s="35"/>
      <c r="S234" s="72"/>
    </row>
    <row r="235" spans="2:19" x14ac:dyDescent="0.25">
      <c r="B235" s="411"/>
      <c r="P235" s="35"/>
      <c r="Q235" s="35"/>
      <c r="R235" s="35"/>
      <c r="S235" s="72"/>
    </row>
    <row r="236" spans="2:19" x14ac:dyDescent="0.25">
      <c r="B236" s="411"/>
      <c r="P236" s="35"/>
      <c r="Q236" s="35"/>
      <c r="R236" s="35"/>
      <c r="S236" s="72"/>
    </row>
    <row r="237" spans="2:19" x14ac:dyDescent="0.25">
      <c r="B237" s="143"/>
      <c r="P237" s="35"/>
      <c r="Q237" s="35"/>
      <c r="R237" s="35"/>
      <c r="S237" s="72"/>
    </row>
    <row r="238" spans="2:19" x14ac:dyDescent="0.25">
      <c r="B238" s="143"/>
      <c r="P238" s="35"/>
      <c r="Q238" s="35"/>
      <c r="R238" s="35"/>
      <c r="S238" s="72"/>
    </row>
    <row r="239" spans="2:19" x14ac:dyDescent="0.25">
      <c r="B239" s="143"/>
      <c r="P239" s="35"/>
      <c r="Q239" s="35"/>
      <c r="R239" s="35"/>
      <c r="S239" s="72"/>
    </row>
    <row r="240" spans="2:19" x14ac:dyDescent="0.25">
      <c r="B240" s="143"/>
      <c r="P240" s="35"/>
      <c r="Q240" s="35"/>
      <c r="R240" s="35"/>
      <c r="S240" s="72"/>
    </row>
    <row r="241" spans="2:19" x14ac:dyDescent="0.25">
      <c r="B241" s="141"/>
      <c r="P241" s="35"/>
      <c r="Q241" s="35"/>
      <c r="R241" s="35"/>
      <c r="S241" s="72"/>
    </row>
    <row r="242" spans="2:19" ht="15.6" x14ac:dyDescent="0.3">
      <c r="B242" s="370"/>
      <c r="P242" s="35"/>
      <c r="Q242" s="35"/>
      <c r="R242" s="35"/>
      <c r="S242" s="72"/>
    </row>
    <row r="243" spans="2:19" x14ac:dyDescent="0.25">
      <c r="P243" s="35"/>
      <c r="Q243" s="35"/>
      <c r="R243" s="35"/>
      <c r="S243" s="72"/>
    </row>
    <row r="244" spans="2:19" x14ac:dyDescent="0.25">
      <c r="B244" s="411"/>
    </row>
    <row r="245" spans="2:19" x14ac:dyDescent="0.25">
      <c r="B245" s="411"/>
    </row>
    <row r="246" spans="2:19" x14ac:dyDescent="0.25">
      <c r="B246" s="411"/>
    </row>
    <row r="247" spans="2:19" x14ac:dyDescent="0.25">
      <c r="B247" s="411"/>
    </row>
    <row r="248" spans="2:19" x14ac:dyDescent="0.25">
      <c r="B248" s="143"/>
    </row>
    <row r="249" spans="2:19" x14ac:dyDescent="0.25">
      <c r="B249" s="143"/>
    </row>
    <row r="250" spans="2:19" x14ac:dyDescent="0.25">
      <c r="B250" s="143"/>
    </row>
    <row r="251" spans="2:19" x14ac:dyDescent="0.25">
      <c r="B251" s="143"/>
    </row>
    <row r="252" spans="2:19" x14ac:dyDescent="0.25">
      <c r="B252" s="143"/>
    </row>
    <row r="253" spans="2:19" x14ac:dyDescent="0.25">
      <c r="B253" s="143"/>
    </row>
    <row r="254" spans="2:19" x14ac:dyDescent="0.25">
      <c r="B254" s="143"/>
    </row>
    <row r="255" spans="2:19" x14ac:dyDescent="0.25">
      <c r="B255" s="411"/>
    </row>
    <row r="256" spans="2:19" x14ac:dyDescent="0.25">
      <c r="B256" s="141"/>
    </row>
    <row r="257" spans="2:19" ht="15.6" x14ac:dyDescent="0.3">
      <c r="B257" s="370"/>
      <c r="P257" s="35"/>
      <c r="Q257" s="35"/>
      <c r="R257" s="35"/>
      <c r="S257" s="72"/>
    </row>
    <row r="258" spans="2:19" x14ac:dyDescent="0.25">
      <c r="B258" s="143"/>
      <c r="P258" s="35"/>
      <c r="Q258" s="35"/>
      <c r="R258" s="35"/>
      <c r="S258" s="72"/>
    </row>
    <row r="259" spans="2:19" x14ac:dyDescent="0.25">
      <c r="B259" s="143"/>
      <c r="P259" s="35"/>
      <c r="Q259" s="35"/>
      <c r="R259" s="35"/>
      <c r="S259" s="72"/>
    </row>
    <row r="260" spans="2:19" x14ac:dyDescent="0.25">
      <c r="B260" s="143"/>
      <c r="P260" s="35"/>
      <c r="Q260" s="35"/>
      <c r="R260" s="35"/>
      <c r="S260" s="72"/>
    </row>
    <row r="261" spans="2:19" x14ac:dyDescent="0.25">
      <c r="B261" s="143"/>
      <c r="P261" s="35"/>
      <c r="Q261" s="35"/>
      <c r="R261" s="35"/>
      <c r="S261" s="72"/>
    </row>
    <row r="262" spans="2:19" x14ac:dyDescent="0.25">
      <c r="B262" s="143"/>
      <c r="P262" s="35"/>
      <c r="Q262" s="35"/>
      <c r="R262" s="35"/>
      <c r="S262" s="72"/>
    </row>
    <row r="263" spans="2:19" x14ac:dyDescent="0.25">
      <c r="B263" s="442" t="s">
        <v>1829</v>
      </c>
      <c r="P263" s="35"/>
      <c r="Q263" s="35"/>
      <c r="R263" s="35"/>
      <c r="S263" s="72"/>
    </row>
    <row r="264" spans="2:19" x14ac:dyDescent="0.25">
      <c r="B264" s="442" t="s">
        <v>1829</v>
      </c>
      <c r="P264" s="35"/>
      <c r="Q264" s="35"/>
      <c r="R264" s="35"/>
      <c r="S264" s="72"/>
    </row>
    <row r="265" spans="2:19" x14ac:dyDescent="0.25">
      <c r="B265" s="141"/>
      <c r="P265" s="35"/>
      <c r="Q265" s="35"/>
      <c r="R265" s="35"/>
      <c r="S265" s="72"/>
    </row>
    <row r="266" spans="2:19" ht="15.6" x14ac:dyDescent="0.25">
      <c r="B266" s="399"/>
      <c r="P266" s="35"/>
      <c r="Q266" s="35"/>
      <c r="R266" s="35"/>
      <c r="S266" s="72"/>
    </row>
    <row r="267" spans="2:19" x14ac:dyDescent="0.25">
      <c r="B267" s="143"/>
    </row>
    <row r="268" spans="2:19" x14ac:dyDescent="0.25">
      <c r="B268" s="143"/>
    </row>
    <row r="269" spans="2:19" x14ac:dyDescent="0.25">
      <c r="B269" s="142" t="s">
        <v>1829</v>
      </c>
    </row>
    <row r="270" spans="2:19" x14ac:dyDescent="0.25">
      <c r="B270" s="141"/>
    </row>
    <row r="271" spans="2:19" ht="15.6" x14ac:dyDescent="0.3">
      <c r="B271" s="370"/>
    </row>
    <row r="272" spans="2:19" x14ac:dyDescent="0.25">
      <c r="B272" s="143"/>
    </row>
    <row r="273" spans="2:2" x14ac:dyDescent="0.25">
      <c r="B273" s="366"/>
    </row>
    <row r="274" spans="2:2" x14ac:dyDescent="0.25">
      <c r="B274" s="39"/>
    </row>
    <row r="275" spans="2:2" x14ac:dyDescent="0.25">
      <c r="B275" s="142" t="s">
        <v>1821</v>
      </c>
    </row>
    <row r="276" spans="2:2" x14ac:dyDescent="0.25">
      <c r="B276" s="142" t="s">
        <v>1821</v>
      </c>
    </row>
    <row r="277" spans="2:2" x14ac:dyDescent="0.25">
      <c r="B277" s="142" t="s">
        <v>1821</v>
      </c>
    </row>
    <row r="278" spans="2:2" x14ac:dyDescent="0.25">
      <c r="B278" s="142" t="s">
        <v>1821</v>
      </c>
    </row>
    <row r="279" spans="2:2" x14ac:dyDescent="0.25">
      <c r="B279" s="142" t="s">
        <v>1821</v>
      </c>
    </row>
    <row r="280" spans="2:2" x14ac:dyDescent="0.25">
      <c r="B280" s="142" t="s">
        <v>1821</v>
      </c>
    </row>
  </sheetData>
  <mergeCells count="1">
    <mergeCell ref="B155:B158"/>
  </mergeCells>
  <pageMargins left="0.5" right="0.5" top="0.5" bottom="0.5" header="0.3" footer="0.3"/>
  <pageSetup paperSize="3" orientation="landscape" r:id="rId1"/>
  <ignoredErrors>
    <ignoredError sqref="H18:H27 H5:H12 H15 H13:H14 H16:H17 J5:J11" numberStoredAsText="1"/>
    <ignoredError sqref="AF18:AF22 AF27 T5:T7 AF5 AB6:AF7 AB5:AE5 AF9:AF17 AF24:AF25 T24:T25 P27 AB9:AE11 AB24:AE25 AB20:AE22 P20:S22 T13:W14 P24:P25 AB13:AE14 AB16:AE17 T2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UCO</vt:lpstr>
      <vt:lpstr>Light My Fire</vt:lpstr>
      <vt:lpstr>Morakniv</vt:lpstr>
      <vt:lpstr>Esbit</vt:lpstr>
      <vt:lpstr>Pedco</vt:lpstr>
      <vt:lpstr>Intova</vt:lpstr>
      <vt:lpstr>YayLabs!</vt:lpstr>
      <vt:lpstr>Esbit!Print_Titles</vt:lpstr>
      <vt:lpstr>Intova!Print_Titles</vt:lpstr>
      <vt:lpstr>'Light My Fire'!Print_Titles</vt:lpstr>
      <vt:lpstr>Morakniv!Print_Titles</vt:lpstr>
      <vt:lpstr>Pedco!Print_Titles</vt:lpstr>
      <vt:lpstr>UCO!Print_Titles</vt:lpstr>
      <vt:lpstr>'YayLabs!'!Print_Titles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Pentium</dc:creator>
  <cp:lastModifiedBy>Tom Grover</cp:lastModifiedBy>
  <cp:lastPrinted>2016-02-01T17:34:01Z</cp:lastPrinted>
  <dcterms:created xsi:type="dcterms:W3CDTF">2001-08-09T20:30:21Z</dcterms:created>
  <dcterms:modified xsi:type="dcterms:W3CDTF">2017-04-26T22:14:20Z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ies>
</file>